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sunicorp.sharepoint.com/sites/TeamIridium/Shared Documents/NIQ Sizing/"/>
    </mc:Choice>
  </mc:AlternateContent>
  <xr:revisionPtr revIDLastSave="0" documentId="8_{29C4B6D4-9365-4A26-BFC8-658D0F1E7D4A}" xr6:coauthVersionLast="47" xr6:coauthVersionMax="47" xr10:uidLastSave="{00000000-0000-0000-0000-000000000000}"/>
  <workbookProtection workbookAlgorithmName="SHA-512" workbookHashValue="q1iwhEQA+E06p70VB171RVr28w7RWQ+y0hvcaSDsSmsYx0/zUJxDNETAmZlyidfEGtXnKo32ImEP9qVJnwmSog==" workbookSaltValue="NrgDUa8YmknSJZx+CEcU2Q==" workbookSpinCount="100000" lockStructure="1"/>
  <bookViews>
    <workbookView xWindow="0" yWindow="760" windowWidth="30240" windowHeight="17940" firstSheet="2" xr2:uid="{B0B30ABF-E18E-9346-959E-6CE98AAB5875}"/>
  </bookViews>
  <sheets>
    <sheet name="HOWTO" sheetId="2" r:id="rId1"/>
    <sheet name="File IQ Sizing Inputs" sheetId="5" r:id="rId2"/>
    <sheet name="File IQ VM Sizing" sheetId="4" r:id="rId3"/>
    <sheet name="Existing Hardware Check" sheetId="7" r:id="rId4"/>
    <sheet name="File IQ Cloud Sizing" sheetId="6" r:id="rId5"/>
  </sheets>
  <definedNames>
    <definedName name="ADJUSTED_FILES" localSheetId="2">'File IQ Sizing Inputs'!$C$100</definedName>
    <definedName name="ADJUSTED_FILES">#REF!</definedName>
    <definedName name="ADJUSTED_USERS">'File IQ Sizing Inputs'!$C$102</definedName>
    <definedName name="AGG_RETENTION_DAYS">'File IQ Sizing Inputs'!$C$5</definedName>
    <definedName name="AGG_RETENTION_DAYS_LARGE">'File IQ Sizing Inputs'!$C$6:$C$6</definedName>
    <definedName name="BACKUP_CORES">'File IQ VM Sizing'!$C$11</definedName>
    <definedName name="BACKUP_PERIOD">'File IQ Sizing Inputs'!$I$7</definedName>
    <definedName name="BACKUPS_ENABLED">'File IQ Sizing Inputs'!$I$5</definedName>
    <definedName name="BACKUPS_TO_PRESERVE">'File IQ Sizing Inputs'!$I$8</definedName>
    <definedName name="BYTES_PER_EVENT">'File IQ Sizing Inputs'!$C$103</definedName>
    <definedName name="COMPRESSION_RATIO">'File IQ Sizing Inputs'!$C$104</definedName>
    <definedName name="CONCURRENT_USERS" localSheetId="2">'File IQ VM Sizing'!#REF!</definedName>
    <definedName name="CONCURRENT_USERS">#REF!</definedName>
    <definedName name="DAILY_WAL_RATIO">'File IQ Sizing Inputs'!$C$105</definedName>
    <definedName name="DATABASE_HEADROOM" localSheetId="2">'File IQ Sizing Inputs'!$C$101</definedName>
    <definedName name="DATABASE_HEADROOM">#REF!</definedName>
    <definedName name="FOO">'File IQ VM Sizing'!#REF!</definedName>
    <definedName name="LARGEST_VOLUME_FILES">'File IQ Sizing Inputs'!$C$98</definedName>
    <definedName name="MIN_CORES" localSheetId="2">'File IQ VM Sizing'!$C$10</definedName>
    <definedName name="MIN_CORES">#REF!</definedName>
    <definedName name="MIN_RAM" localSheetId="2">'File IQ VM Sizing'!$D$10</definedName>
    <definedName name="MIN_RAM">#REF!</definedName>
    <definedName name="NIQ_DB_DISK">'File IQ VM Sizing'!$C$48</definedName>
    <definedName name="RAW_RETENTION_DAYS">'File IQ Sizing Inputs'!$C$7</definedName>
    <definedName name="SYSTEM_SIZE" localSheetId="2">'File IQ Sizing Inputs'!$C$99</definedName>
    <definedName name="SYSTEM_SIZE">#REF!</definedName>
    <definedName name="TOTAL_FILERS">'File IQ Sizing Inputs'!$K$30</definedName>
    <definedName name="TOTAL_FILES">'File IQ Sizing Inputs'!$C$97</definedName>
    <definedName name="TOTAL_VOLUMES" localSheetId="2">'File IQ Sizing Inputs'!$H$30</definedName>
    <definedName name="TOTAL_VOLUM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5" l="1"/>
  <c r="E5" i="7"/>
  <c r="H17" i="5"/>
  <c r="M17" i="5"/>
  <c r="H18" i="5"/>
  <c r="M18" i="5"/>
  <c r="H19" i="5"/>
  <c r="M19" i="5"/>
  <c r="H20" i="5"/>
  <c r="M20" i="5"/>
  <c r="H21" i="5"/>
  <c r="M21" i="5"/>
  <c r="H22" i="5"/>
  <c r="M22" i="5"/>
  <c r="H23" i="5"/>
  <c r="M23" i="5"/>
  <c r="H24" i="5"/>
  <c r="M24" i="5"/>
  <c r="H25" i="5"/>
  <c r="M25" i="5"/>
  <c r="H26" i="5"/>
  <c r="M26" i="5"/>
  <c r="H27" i="5"/>
  <c r="M27" i="5"/>
  <c r="H28" i="5"/>
  <c r="M28" i="5"/>
  <c r="H29" i="5"/>
  <c r="M29" i="5"/>
  <c r="D30" i="5"/>
  <c r="E30" i="5"/>
  <c r="F30" i="5"/>
  <c r="G30" i="5"/>
  <c r="C100" i="5"/>
  <c r="C22" i="4" s="1"/>
  <c r="C45" i="4"/>
  <c r="C97" i="5" l="1"/>
  <c r="C32" i="5" s="1"/>
  <c r="M30" i="5"/>
  <c r="H30" i="5"/>
  <c r="C98" i="5"/>
  <c r="C21" i="4"/>
  <c r="C27" i="4"/>
  <c r="C99" i="5" l="1"/>
  <c r="C32" i="4"/>
  <c r="C102" i="5"/>
  <c r="C37" i="4" s="1"/>
  <c r="C7" i="4"/>
  <c r="C10" i="4" s="1"/>
  <c r="C23" i="4"/>
  <c r="C24" i="4"/>
  <c r="C29" i="4"/>
  <c r="C25" i="4"/>
  <c r="C40" i="4"/>
  <c r="C26" i="4"/>
  <c r="C28" i="4" a="1"/>
  <c r="C28" i="4" s="1"/>
  <c r="C31" i="4" l="1" a="1"/>
  <c r="C31" i="4" s="1"/>
  <c r="C44" i="4"/>
  <c r="C43" i="4"/>
  <c r="C42" i="4" a="1"/>
  <c r="C42" i="4" s="1"/>
  <c r="C11" i="4"/>
  <c r="E20" i="4"/>
  <c r="C35" i="4"/>
  <c r="C38" i="4"/>
  <c r="C34" i="4"/>
  <c r="C39" i="4"/>
  <c r="C30" i="4"/>
  <c r="D20" i="4"/>
  <c r="C41" i="4"/>
  <c r="C33" i="4"/>
  <c r="C36" i="4"/>
  <c r="D6" i="4"/>
  <c r="D10" i="4" s="1"/>
  <c r="C12" i="4" l="1"/>
  <c r="C5" i="7" s="1"/>
  <c r="D12" i="4"/>
  <c r="D5" i="7" s="1"/>
  <c r="C46" i="4"/>
  <c r="C47" i="4" l="1"/>
  <c r="C48" i="4" s="1"/>
  <c r="C20" i="4" s="1"/>
  <c r="F5" i="7" s="1"/>
  <c r="C15" i="4"/>
  <c r="D15" i="4" a="1"/>
  <c r="D15" i="4" s="1"/>
  <c r="G5" i="7" l="1"/>
  <c r="C4" i="6"/>
  <c r="D48" i="4"/>
  <c r="E48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<sst xmlns="http://schemas.openxmlformats.org/spreadsheetml/2006/main" count="160" uniqueCount="140">
  <si>
    <t>Instructions for Nasuni File IQ Sizing Tool Ver.2</t>
  </si>
  <si>
    <t>Note: You must download this sizing tool (Excel file) to your local computer before using it.</t>
  </si>
  <si>
    <t>Click Here for Full Sizing Tool Instructions</t>
  </si>
  <si>
    <t xml:space="preserve">Step 1.) </t>
  </si>
  <si>
    <t>Enter inputs on the "File IQ Sizing Inputs" sheet</t>
  </si>
  <si>
    <t xml:space="preserve">Step 2.) </t>
  </si>
  <si>
    <t>View results of sizing on the "File IQ VM Sizing" sheet.</t>
  </si>
  <si>
    <t>Optional.)</t>
  </si>
  <si>
    <t>Perform a hardware check on the "Existing Hardware Check" sheet.</t>
  </si>
  <si>
    <t xml:space="preserve">Optional.) </t>
  </si>
  <si>
    <t>Perform a cloud sizing check with inputs on "File IQ Sizing Inputs" sheet,</t>
  </si>
  <si>
    <t xml:space="preserve"> and view results on the "File IQ Cloud Sizing" sheet.</t>
  </si>
  <si>
    <t>Enter information only in the light blue cells.</t>
  </si>
  <si>
    <t>Do not enter information in any other cells.</t>
  </si>
  <si>
    <t>Sizing recommendations appear in the green cells.</t>
  </si>
  <si>
    <t>Do not insert or delete any rows or columns, as this may interfere with the logic of the tool.</t>
  </si>
  <si>
    <t>If you expect any volumes to decrease in size, enter their information in the ‘&lt; 5%’ column.</t>
  </si>
  <si>
    <t>Cell Color Key</t>
  </si>
  <si>
    <t>Description</t>
  </si>
  <si>
    <t>Within operational capability. The system has been verified to work within this operational range.</t>
  </si>
  <si>
    <t>Unconfirmed operational ranges. The system has yet to be verified to work with these operational values.</t>
  </si>
  <si>
    <t>Beyond the operational capabilities of the system. Please adjust sizing tool input figures to bring the operational range back within operational capability.</t>
  </si>
  <si>
    <t>Editable input field. Enter input values here.</t>
  </si>
  <si>
    <t>Premium Features</t>
  </si>
  <si>
    <t>Premium Enabled</t>
  </si>
  <si>
    <t>false</t>
  </si>
  <si>
    <t>Optional Features</t>
  </si>
  <si>
    <t>Retention Period</t>
  </si>
  <si>
    <t>Days</t>
  </si>
  <si>
    <t>Backup Cloud Storage</t>
  </si>
  <si>
    <t>Aggregation Event Retention</t>
  </si>
  <si>
    <t>Backup Enabled</t>
  </si>
  <si>
    <t>Aggregation Event Retention Large</t>
  </si>
  <si>
    <t>Raw Event Retention</t>
  </si>
  <si>
    <t>Backup Period</t>
  </si>
  <si>
    <t>daily</t>
  </si>
  <si>
    <t>Backups to Preserve</t>
  </si>
  <si>
    <t>VOLUMES</t>
  </si>
  <si>
    <t>NEAs</t>
  </si>
  <si>
    <t>Volumes</t>
  </si>
  <si>
    <t>Estimated % Monthly Change</t>
  </si>
  <si>
    <t>Total</t>
  </si>
  <si>
    <t>Users</t>
  </si>
  <si>
    <t>NEA Count</t>
  </si>
  <si>
    <t>Est Ev/s/NEA</t>
  </si>
  <si>
    <t>Est Ev/s</t>
  </si>
  <si>
    <t>Files + Dir / Volume</t>
  </si>
  <si>
    <t>&lt; 5%</t>
  </si>
  <si>
    <t>&lt; 10%</t>
  </si>
  <si>
    <t>&lt; 20%</t>
  </si>
  <si>
    <t>&gt; 20%</t>
  </si>
  <si>
    <t>Growth Factor</t>
  </si>
  <si>
    <t>Small</t>
  </si>
  <si>
    <t>Extra Small (&lt; 50 users)</t>
  </si>
  <si>
    <t>Medium</t>
  </si>
  <si>
    <t>Small (50-100)</t>
  </si>
  <si>
    <t>Large</t>
  </si>
  <si>
    <t>Medium (100-250)</t>
  </si>
  <si>
    <t>XL (custom sizes)</t>
  </si>
  <si>
    <t>Large (250-500)</t>
  </si>
  <si>
    <t>Extra Large (500-1000)</t>
  </si>
  <si>
    <t>Custom</t>
  </si>
  <si>
    <t>Total number of files &amp; dirs:</t>
  </si>
  <si>
    <t>Total number of files</t>
  </si>
  <si>
    <t>Largest Volume</t>
  </si>
  <si>
    <t>System Size</t>
  </si>
  <si>
    <t>Adjusted Files</t>
  </si>
  <si>
    <t>Database space headroom</t>
  </si>
  <si>
    <t>Adjusted users / agg interval</t>
  </si>
  <si>
    <t>Bytes per event</t>
  </si>
  <si>
    <t>Backups Compression Ratio</t>
  </si>
  <si>
    <t>BAckups Daily WAL Ratio</t>
  </si>
  <si>
    <t>Minimum VM Hardware Requirements</t>
  </si>
  <si>
    <t>vCPUs</t>
  </si>
  <si>
    <t>Memory</t>
  </si>
  <si>
    <t>Core Nasuni (Min)</t>
  </si>
  <si>
    <t>FSMS Scan</t>
  </si>
  <si>
    <t>FSMS Agg</t>
  </si>
  <si>
    <t>FSEP</t>
  </si>
  <si>
    <t>FSAGG</t>
  </si>
  <si>
    <t>Reporting</t>
  </si>
  <si>
    <t>Total Minimum</t>
  </si>
  <si>
    <t>Backup CPU Utilisation</t>
  </si>
  <si>
    <t>Recommended</t>
  </si>
  <si>
    <t>Platform</t>
  </si>
  <si>
    <t>Azure</t>
  </si>
  <si>
    <t>AWS</t>
  </si>
  <si>
    <t>GCP</t>
  </si>
  <si>
    <t>ESX</t>
  </si>
  <si>
    <t>Nutanix</t>
  </si>
  <si>
    <t>Hyper-V</t>
  </si>
  <si>
    <t>VM Size suggestion</t>
  </si>
  <si>
    <t>n2d custom</t>
  </si>
  <si>
    <t>Guide</t>
  </si>
  <si>
    <t>Minimum Disk Requirements</t>
  </si>
  <si>
    <t>Size</t>
  </si>
  <si>
    <t>MB/s</t>
  </si>
  <si>
    <t>IOPS</t>
  </si>
  <si>
    <t>Nasuni CoW</t>
  </si>
  <si>
    <t>Nasuni Cache</t>
  </si>
  <si>
    <t>fsms: directory_entry</t>
  </si>
  <si>
    <t>fsms: directory_relationship</t>
  </si>
  <si>
    <t>fsms: directory_scan</t>
  </si>
  <si>
    <t>fsms: chargeback</t>
  </si>
  <si>
    <t>fsms: gfl</t>
  </si>
  <si>
    <t>fsms: first_handles</t>
  </si>
  <si>
    <t>fsms: latest_access</t>
  </si>
  <si>
    <t>fsep: audit_events</t>
  </si>
  <si>
    <t>fsagg:audit_events_agg_category</t>
  </si>
  <si>
    <t>fsagg:audit_events_agg_directory</t>
  </si>
  <si>
    <t>fsagg:audit_events_agg_directory_user_access</t>
  </si>
  <si>
    <t>fsagg:audit_events_agg_event_type</t>
  </si>
  <si>
    <t>fsagg:audit_events_agg_extension</t>
  </si>
  <si>
    <t>fsagg:audit_events_agg_group</t>
  </si>
  <si>
    <t>fsagg:audit_events_agg_group_user_category</t>
  </si>
  <si>
    <t>fsagg:audit_events_agg_group_user_event_type</t>
  </si>
  <si>
    <t>fsagg:audit_events_agg_group_user_extension</t>
  </si>
  <si>
    <t>fsagg:audit_events_agg_group_user</t>
  </si>
  <si>
    <t>fsagg:audit_events_agg_ip</t>
  </si>
  <si>
    <t>fsagg:audit_events_agg_total</t>
  </si>
  <si>
    <t>fsagg:audit_events_agg_user</t>
  </si>
  <si>
    <t>fsagg:audit_events_daily_agg_directory_user_access</t>
  </si>
  <si>
    <t>fsagg:audit_events_daily_agg_directory_by_type_rolling</t>
  </si>
  <si>
    <t>fsagg:audit_events_daily_agg_directory_by_type_snapshot</t>
  </si>
  <si>
    <t>Rest of database</t>
  </si>
  <si>
    <t>Total expected</t>
  </si>
  <si>
    <t>Overhead</t>
  </si>
  <si>
    <t>File IQ DB Disk</t>
  </si>
  <si>
    <t>Notes</t>
  </si>
  <si>
    <t xml:space="preserve">  • On Azure, all disks are Premium SSD for performance reasons (use Premium SSD v2 where available).</t>
  </si>
  <si>
    <t xml:space="preserve">  • On Azure, for 4TB disks, use 4095 GB in order to benefit from host caching.</t>
  </si>
  <si>
    <t xml:space="preserve">  • On AWS EC2, only use EBS-Only virtual machines</t>
  </si>
  <si>
    <t xml:space="preserve">  • On AWS EC2, for best performance use Provisioned IOPS SSD (io2) for high-intensity I/O</t>
  </si>
  <si>
    <t xml:space="preserve">  • On GCP an N2D Series 'Custom' machine type should be selected (see sizing tool guide and install guide for more details).</t>
  </si>
  <si>
    <t xml:space="preserve">  • On GCP, for data disks, use 'SSD persistent disk' type (see sizing tool guide and install guide for more details).</t>
  </si>
  <si>
    <t>Existing Hardware Check</t>
  </si>
  <si>
    <t>Customer Inputs</t>
  </si>
  <si>
    <t>Current Capacity (Compared to Sizing Requirements)</t>
  </si>
  <si>
    <t>Backup Cloud Storage Estimation</t>
  </si>
  <si>
    <t>Cloud Storage Size Estimation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</si>
</sst>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#"/>
    <numFmt numFmtId="165" formatCode="#,##0&quot;TB&quot;"/>
    <numFmt numFmtId="166" formatCode="0.0"/>
    <numFmt numFmtId="167" formatCode="#,###&quot;GB&quot;"/>
    <numFmt numFmtId="168" formatCode="0.000000000000000000"/>
    <numFmt numFmtId="169" formatCode="#,##0.000&quot;TB&quot;"/>
    <numFmt numFmtId="170" formatCode="#,##0&quot;GB&quot;"/>
  </numFmts>
  <fonts count="2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0"/>
      <name val="Calibri"/>
      <family val="2"/>
      <scheme val="minor"/>
    </font>
    <font>
      <b/>
      <sz val="32"/>
      <color theme="0"/>
      <name val="Calibri"/>
      <family val="2"/>
      <scheme val="minor"/>
    </font>
    <font>
      <b/>
      <i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F8E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969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medium">
        <color theme="1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1"/>
      </left>
      <right style="thin">
        <color theme="7" tint="-0.249977111117893"/>
      </right>
      <top style="thin">
        <color theme="7" tint="-0.249977111117893"/>
      </top>
      <bottom style="medium">
        <color theme="1"/>
      </bottom>
      <diagonal/>
    </border>
    <border>
      <left style="thin">
        <color theme="7" tint="-0.249977111117893"/>
      </left>
      <right style="medium">
        <color theme="1"/>
      </right>
      <top style="thin">
        <color theme="7" tint="-0.249977111117893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/>
      <top style="thin">
        <color theme="9" tint="0.59999389629810485"/>
      </top>
      <bottom style="thin">
        <color theme="9" tint="0.59999389629810485"/>
      </bottom>
      <diagonal/>
    </border>
    <border>
      <left style="thin">
        <color rgb="FF000000"/>
      </left>
      <right/>
      <top style="thin">
        <color theme="9" tint="0.59999389629810485"/>
      </top>
      <bottom style="thin">
        <color theme="9" tint="0.59999389629810485"/>
      </bottom>
      <diagonal/>
    </border>
    <border>
      <left/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/>
      <diagonal/>
    </border>
    <border>
      <left/>
      <right/>
      <top style="thin">
        <color theme="9" tint="0.59999389629810485"/>
      </top>
      <bottom style="thin">
        <color theme="9" tint="0.59999389629810485"/>
      </bottom>
      <diagonal/>
    </border>
    <border>
      <left style="medium">
        <color theme="1"/>
      </left>
      <right style="thin">
        <color theme="7" tint="-0.249977111117893"/>
      </right>
      <top style="medium">
        <color theme="1"/>
      </top>
      <bottom style="thin">
        <color theme="7" tint="-0.249977111117893"/>
      </bottom>
      <diagonal/>
    </border>
    <border>
      <left style="thin">
        <color theme="7" tint="-0.249977111117893"/>
      </left>
      <right style="medium">
        <color theme="1"/>
      </right>
      <top style="medium">
        <color theme="1"/>
      </top>
      <bottom style="thin">
        <color theme="7" tint="-0.249977111117893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9" fillId="13" borderId="0" applyNumberFormat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164" fontId="2" fillId="6" borderId="1" xfId="0" applyNumberFormat="1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horizontal="right" vertical="center"/>
    </xf>
    <xf numFmtId="165" fontId="2" fillId="6" borderId="1" xfId="0" applyNumberFormat="1" applyFont="1" applyFill="1" applyBorder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166" fontId="0" fillId="4" borderId="1" xfId="0" applyNumberFormat="1" applyFill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164" fontId="0" fillId="3" borderId="1" xfId="0" applyNumberForma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167" fontId="2" fillId="6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166" fontId="9" fillId="6" borderId="1" xfId="0" applyNumberFormat="1" applyFont="1" applyFill="1" applyBorder="1" applyAlignment="1">
      <alignment horizontal="center" vertical="center"/>
    </xf>
    <xf numFmtId="0" fontId="11" fillId="0" borderId="0" xfId="1"/>
    <xf numFmtId="166" fontId="12" fillId="6" borderId="1" xfId="1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10" fillId="7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164" fontId="2" fillId="7" borderId="1" xfId="0" applyNumberFormat="1" applyFont="1" applyFill="1" applyBorder="1" applyAlignment="1">
      <alignment vertical="center"/>
    </xf>
    <xf numFmtId="9" fontId="17" fillId="0" borderId="11" xfId="2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12" borderId="14" xfId="0" applyFill="1" applyBorder="1" applyAlignment="1">
      <alignment vertical="center"/>
    </xf>
    <xf numFmtId="0" fontId="0" fillId="12" borderId="15" xfId="0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 indent="2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9" fontId="17" fillId="0" borderId="11" xfId="0" applyNumberFormat="1" applyFont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20" xfId="0" applyFont="1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0" fillId="7" borderId="0" xfId="0" applyFill="1"/>
    <xf numFmtId="164" fontId="4" fillId="7" borderId="0" xfId="0" applyNumberFormat="1" applyFont="1" applyFill="1" applyAlignment="1">
      <alignment vertical="center"/>
    </xf>
    <xf numFmtId="164" fontId="4" fillId="7" borderId="0" xfId="0" applyNumberFormat="1" applyFont="1" applyFill="1" applyAlignment="1">
      <alignment horizontal="right" vertical="center"/>
    </xf>
    <xf numFmtId="9" fontId="4" fillId="7" borderId="0" xfId="0" applyNumberFormat="1" applyFont="1" applyFill="1" applyAlignment="1">
      <alignment vertical="center"/>
    </xf>
    <xf numFmtId="4" fontId="4" fillId="7" borderId="0" xfId="0" applyNumberFormat="1" applyFont="1" applyFill="1" applyAlignment="1">
      <alignment vertical="center"/>
    </xf>
    <xf numFmtId="0" fontId="5" fillId="0" borderId="0" xfId="0" applyFont="1"/>
    <xf numFmtId="0" fontId="0" fillId="5" borderId="25" xfId="0" applyFill="1" applyBorder="1"/>
    <xf numFmtId="0" fontId="0" fillId="5" borderId="26" xfId="0" applyFill="1" applyBorder="1"/>
    <xf numFmtId="0" fontId="1" fillId="5" borderId="24" xfId="0" applyFont="1" applyFill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10" borderId="10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64" fontId="0" fillId="4" borderId="5" xfId="0" applyNumberForma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left" vertical="center" indent="2"/>
    </xf>
    <xf numFmtId="0" fontId="19" fillId="14" borderId="0" xfId="3" applyFill="1" applyBorder="1" applyAlignment="1">
      <alignment vertical="center"/>
    </xf>
    <xf numFmtId="0" fontId="2" fillId="2" borderId="29" xfId="0" applyFont="1" applyFill="1" applyBorder="1" applyAlignment="1">
      <alignment horizontal="left" vertical="center" indent="2"/>
    </xf>
    <xf numFmtId="0" fontId="2" fillId="2" borderId="30" xfId="0" applyFont="1" applyFill="1" applyBorder="1" applyAlignment="1">
      <alignment horizontal="left" vertical="center" indent="2"/>
    </xf>
    <xf numFmtId="0" fontId="2" fillId="2" borderId="31" xfId="0" applyFont="1" applyFill="1" applyBorder="1" applyAlignment="1">
      <alignment horizontal="left" vertical="center" indent="2"/>
    </xf>
    <xf numFmtId="0" fontId="2" fillId="2" borderId="33" xfId="0" applyFont="1" applyFill="1" applyBorder="1" applyAlignment="1">
      <alignment horizontal="left" vertical="center" indent="2"/>
    </xf>
    <xf numFmtId="168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65" fontId="2" fillId="7" borderId="0" xfId="0" applyNumberFormat="1" applyFont="1" applyFill="1" applyAlignment="1">
      <alignment horizontal="right" vertical="center"/>
    </xf>
    <xf numFmtId="0" fontId="9" fillId="2" borderId="12" xfId="0" applyFont="1" applyFill="1" applyBorder="1" applyAlignment="1">
      <alignment horizontal="left" vertical="center"/>
    </xf>
    <xf numFmtId="0" fontId="0" fillId="2" borderId="12" xfId="0" applyFill="1" applyBorder="1"/>
    <xf numFmtId="0" fontId="0" fillId="3" borderId="13" xfId="0" applyFill="1" applyBorder="1"/>
    <xf numFmtId="49" fontId="21" fillId="3" borderId="13" xfId="0" applyNumberFormat="1" applyFont="1" applyFill="1" applyBorder="1" applyAlignment="1" applyProtection="1">
      <alignment horizontal="right" vertical="center"/>
      <protection locked="0"/>
    </xf>
    <xf numFmtId="49" fontId="0" fillId="3" borderId="28" xfId="0" applyNumberFormat="1" applyFill="1" applyBorder="1" applyAlignment="1" applyProtection="1">
      <alignment horizontal="right" vertical="center"/>
      <protection locked="0"/>
    </xf>
    <xf numFmtId="0" fontId="0" fillId="3" borderId="28" xfId="0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28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167" fontId="0" fillId="3" borderId="11" xfId="0" applyNumberFormat="1" applyFill="1" applyBorder="1" applyAlignment="1" applyProtection="1">
      <alignment vertical="center"/>
      <protection locked="0"/>
    </xf>
    <xf numFmtId="165" fontId="0" fillId="3" borderId="11" xfId="0" applyNumberFormat="1" applyFill="1" applyBorder="1" applyAlignment="1" applyProtection="1">
      <alignment vertical="center"/>
      <protection locked="0"/>
    </xf>
    <xf numFmtId="169" fontId="2" fillId="6" borderId="11" xfId="0" applyNumberFormat="1" applyFont="1" applyFill="1" applyBorder="1" applyAlignment="1">
      <alignment vertical="center"/>
    </xf>
    <xf numFmtId="170" fontId="2" fillId="0" borderId="11" xfId="0" applyNumberFormat="1" applyFont="1" applyBorder="1" applyAlignment="1">
      <alignment vertical="center"/>
    </xf>
    <xf numFmtId="0" fontId="0" fillId="5" borderId="24" xfId="0" applyFill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3" fontId="5" fillId="8" borderId="0" xfId="0" applyNumberFormat="1" applyFont="1" applyFill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left" vertical="center"/>
    </xf>
    <xf numFmtId="3" fontId="15" fillId="7" borderId="0" xfId="0" applyNumberFormat="1" applyFont="1" applyFill="1" applyAlignment="1">
      <alignment horizontal="left" vertical="center"/>
    </xf>
    <xf numFmtId="165" fontId="6" fillId="6" borderId="0" xfId="0" applyNumberFormat="1" applyFont="1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8" fillId="12" borderId="34" xfId="0" applyFont="1" applyFill="1" applyBorder="1" applyAlignment="1">
      <alignment horizontal="center" vertical="center"/>
    </xf>
    <xf numFmtId="0" fontId="18" fillId="12" borderId="35" xfId="0" applyFont="1" applyFill="1" applyBorder="1" applyAlignment="1">
      <alignment horizontal="center" vertical="center"/>
    </xf>
    <xf numFmtId="0" fontId="20" fillId="7" borderId="0" xfId="3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20" fillId="14" borderId="0" xfId="3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0" borderId="0" xfId="1" applyAlignment="1"/>
    <xf numFmtId="0" fontId="14" fillId="0" borderId="0" xfId="0" applyFont="1" applyAlignment="1"/>
  </cellXfs>
  <cellStyles count="4">
    <cellStyle name="Bad" xfId="2" builtinId="27"/>
    <cellStyle name="Hyperlink" xfId="1" builtinId="8"/>
    <cellStyle name="Neutral" xfId="3" builtinId="28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B9C"/>
      <color rgb="FFF8F8E6"/>
      <color rgb="FFEB9696"/>
      <color rgb="FFFBFFE8"/>
      <color rgb="FFF0C2C1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76200</xdr:rowOff>
    </xdr:from>
    <xdr:to>
      <xdr:col>14</xdr:col>
      <xdr:colOff>762000</xdr:colOff>
      <xdr:row>16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F8ABBE-E4F3-6396-250F-A4CAD3F81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5200" y="76200"/>
          <a:ext cx="3238500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ocs.nasuni.com/docs/nasuni-file-iq-sizing-tool-and-instructions" TargetMode="External"/><Relationship Id="rId1" Type="http://schemas.openxmlformats.org/officeDocument/2006/relationships/hyperlink" Target="https://b.link/Nasuni_IQ_Sizing_Tool_Instruction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.link/Nasuni_IQ_Sizing_Tool_Instructions" TargetMode="External"/><Relationship Id="rId2" Type="http://schemas.openxmlformats.org/officeDocument/2006/relationships/hyperlink" Target="https://b.link/Nasuni_IQ_Sizing_Tool_Instructions" TargetMode="External"/><Relationship Id="rId1" Type="http://schemas.openxmlformats.org/officeDocument/2006/relationships/hyperlink" Target="https://b.link/Nasuni_IQ_Sizing_Tool_Instructions" TargetMode="External"/><Relationship Id="rId4" Type="http://schemas.openxmlformats.org/officeDocument/2006/relationships/hyperlink" Target="https://b.link/Nasuni_IQ_Sizing_Tool_Instruc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11B39-7FA5-D346-A1D2-5A100C8A2CEC}">
  <dimension ref="A1:K27"/>
  <sheetViews>
    <sheetView showGridLines="0" tabSelected="1" workbookViewId="0">
      <selection activeCell="B2" sqref="B2"/>
    </sheetView>
  </sheetViews>
  <sheetFormatPr defaultColWidth="11" defaultRowHeight="15.95"/>
  <cols>
    <col min="1" max="1" width="12.625" customWidth="1"/>
    <col min="2" max="2" width="15" customWidth="1"/>
    <col min="10" max="10" width="29.875" customWidth="1"/>
  </cols>
  <sheetData>
    <row r="1" spans="1:11" ht="53.25" customHeight="1">
      <c r="A1" s="9"/>
      <c r="B1" s="92" t="s">
        <v>0</v>
      </c>
      <c r="C1" s="92"/>
      <c r="D1" s="92"/>
      <c r="E1" s="92"/>
      <c r="F1" s="92"/>
      <c r="G1" s="92"/>
      <c r="H1" s="92"/>
      <c r="I1" s="92"/>
      <c r="J1" s="92"/>
      <c r="K1" s="10"/>
    </row>
    <row r="3" spans="1:11" ht="21">
      <c r="B3" s="119" t="s">
        <v>1</v>
      </c>
      <c r="C3" s="119"/>
      <c r="D3" s="119"/>
      <c r="E3" s="119"/>
      <c r="F3" s="119"/>
      <c r="G3" s="119"/>
      <c r="H3" s="119"/>
      <c r="I3" s="119"/>
      <c r="J3" s="119"/>
    </row>
    <row r="5" spans="1:11" ht="21" customHeight="1">
      <c r="B5" s="118" t="s">
        <v>2</v>
      </c>
      <c r="C5" s="118"/>
      <c r="D5" s="118"/>
      <c r="E5" s="118"/>
      <c r="F5" s="118"/>
      <c r="G5" s="118"/>
      <c r="H5" s="118"/>
    </row>
    <row r="6" spans="1:11" ht="21" customHeight="1"/>
    <row r="7" spans="1:11" ht="21" customHeight="1">
      <c r="B7" s="53" t="s">
        <v>3</v>
      </c>
      <c r="C7" s="53" t="s">
        <v>4</v>
      </c>
    </row>
    <row r="8" spans="1:11" ht="21" customHeight="1">
      <c r="B8" s="53" t="s">
        <v>5</v>
      </c>
      <c r="C8" s="53" t="s">
        <v>6</v>
      </c>
    </row>
    <row r="9" spans="1:11" ht="21" customHeight="1">
      <c r="B9" s="53" t="s">
        <v>7</v>
      </c>
      <c r="C9" s="53" t="s">
        <v>8</v>
      </c>
    </row>
    <row r="10" spans="1:11" ht="21" customHeight="1">
      <c r="B10" s="53" t="s">
        <v>9</v>
      </c>
      <c r="C10" s="53" t="s">
        <v>10</v>
      </c>
    </row>
    <row r="11" spans="1:11" ht="21" customHeight="1">
      <c r="C11" s="53" t="s">
        <v>11</v>
      </c>
    </row>
    <row r="12" spans="1:11" ht="21" customHeight="1"/>
    <row r="14" spans="1:11" ht="21">
      <c r="B14" s="93" t="s">
        <v>12</v>
      </c>
      <c r="C14" s="93"/>
      <c r="D14" s="93"/>
      <c r="E14" s="93"/>
      <c r="F14" s="93"/>
      <c r="G14" s="93"/>
      <c r="H14" s="93"/>
      <c r="I14" s="93"/>
      <c r="J14" s="93"/>
    </row>
    <row r="15" spans="1:11" ht="21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spans="1:11" ht="21">
      <c r="B16" s="95" t="s">
        <v>14</v>
      </c>
      <c r="C16" s="95"/>
      <c r="D16" s="95"/>
      <c r="E16" s="95"/>
      <c r="F16" s="95"/>
      <c r="G16" s="95"/>
      <c r="H16" s="95"/>
      <c r="I16" s="95"/>
      <c r="J16" s="95"/>
    </row>
    <row r="18" spans="1:11" ht="21">
      <c r="B18" s="91" t="s">
        <v>15</v>
      </c>
      <c r="C18" s="91"/>
      <c r="D18" s="91"/>
      <c r="E18" s="91"/>
      <c r="F18" s="91"/>
      <c r="G18" s="91"/>
      <c r="H18" s="91"/>
      <c r="I18" s="91"/>
      <c r="J18" s="91"/>
    </row>
    <row r="19" spans="1:11" ht="21">
      <c r="B19" s="91" t="s">
        <v>16</v>
      </c>
      <c r="C19" s="91"/>
      <c r="D19" s="91"/>
      <c r="E19" s="91"/>
      <c r="F19" s="91"/>
      <c r="G19" s="91"/>
      <c r="H19" s="91"/>
      <c r="I19" s="91"/>
      <c r="J19" s="91"/>
    </row>
    <row r="21" spans="1:11">
      <c r="E21" s="18"/>
    </row>
    <row r="22" spans="1:11">
      <c r="A22" s="20" t="s">
        <v>17</v>
      </c>
      <c r="B22" s="56" t="s">
        <v>18</v>
      </c>
      <c r="C22" s="57"/>
      <c r="D22" s="57"/>
      <c r="E22" s="57"/>
      <c r="F22" s="57"/>
      <c r="G22" s="57"/>
      <c r="H22" s="54"/>
      <c r="I22" s="54"/>
      <c r="J22" s="54"/>
      <c r="K22" s="55"/>
    </row>
    <row r="23" spans="1:11" ht="15.95" customHeight="1">
      <c r="A23" s="58"/>
      <c r="B23" s="88" t="s">
        <v>19</v>
      </c>
      <c r="C23" s="89"/>
      <c r="D23" s="89"/>
      <c r="E23" s="89"/>
      <c r="F23" s="89"/>
      <c r="G23" s="89"/>
      <c r="H23" s="89"/>
      <c r="I23" s="89"/>
      <c r="J23" s="89"/>
      <c r="K23" s="90"/>
    </row>
    <row r="24" spans="1:11">
      <c r="A24" s="59"/>
      <c r="B24" s="88" t="s">
        <v>19</v>
      </c>
      <c r="C24" s="89"/>
      <c r="D24" s="89"/>
      <c r="E24" s="89"/>
      <c r="F24" s="89"/>
      <c r="G24" s="89"/>
      <c r="H24" s="89"/>
      <c r="I24" s="89"/>
      <c r="J24" s="89"/>
      <c r="K24" s="90"/>
    </row>
    <row r="25" spans="1:11">
      <c r="A25" s="60"/>
      <c r="B25" s="88" t="s">
        <v>20</v>
      </c>
      <c r="C25" s="89"/>
      <c r="D25" s="89"/>
      <c r="E25" s="89"/>
      <c r="F25" s="89"/>
      <c r="G25" s="89"/>
      <c r="H25" s="89"/>
      <c r="I25" s="89"/>
      <c r="J25" s="89"/>
      <c r="K25" s="90"/>
    </row>
    <row r="26" spans="1:11">
      <c r="A26" s="61"/>
      <c r="B26" s="88" t="s">
        <v>21</v>
      </c>
      <c r="C26" s="89"/>
      <c r="D26" s="89"/>
      <c r="E26" s="89"/>
      <c r="F26" s="89"/>
      <c r="G26" s="89"/>
      <c r="H26" s="89"/>
      <c r="I26" s="89"/>
      <c r="J26" s="89"/>
      <c r="K26" s="90"/>
    </row>
    <row r="27" spans="1:11">
      <c r="A27" s="62"/>
      <c r="B27" s="88" t="s">
        <v>22</v>
      </c>
      <c r="C27" s="89"/>
      <c r="D27" s="89"/>
      <c r="E27" s="89"/>
      <c r="F27" s="89"/>
      <c r="G27" s="89"/>
      <c r="H27" s="89"/>
      <c r="I27" s="89"/>
      <c r="J27" s="89"/>
      <c r="K27" s="90"/>
    </row>
  </sheetData>
  <sheetProtection algorithmName="SHA-512" hashValue="rr+Ou71boIdRNKZJZ8hM/Qdf/n0bJb3uEPP5tusqMagvZy64MG4kGtWigA+YT1R3G+WmDjCe0/bT4+Lh1xzTvg==" saltValue="NDqeHJzKbJTKGSvFKVxQmA==" spinCount="100000" sheet="1" objects="1" scenarios="1"/>
  <mergeCells count="13">
    <mergeCell ref="B19:J19"/>
    <mergeCell ref="B18:J18"/>
    <mergeCell ref="B1:J1"/>
    <mergeCell ref="B14:J14"/>
    <mergeCell ref="B15:J15"/>
    <mergeCell ref="B16:J16"/>
    <mergeCell ref="B3:J3"/>
    <mergeCell ref="B5:H5"/>
    <mergeCell ref="B23:K23"/>
    <mergeCell ref="B24:K24"/>
    <mergeCell ref="B25:K25"/>
    <mergeCell ref="B26:K26"/>
    <mergeCell ref="B27:K27"/>
  </mergeCells>
  <hyperlinks>
    <hyperlink ref="B5" r:id="rId1" display="Click Here for Sizing Tool Instructions" xr:uid="{CAFE3D28-3B21-414D-988C-0852C79D1279}"/>
    <hyperlink ref="B5:H5" r:id="rId2" display="Click Here for Full Sizing Tool Instructions" xr:uid="{BA207884-A485-8D40-AD33-E8261A96D147}"/>
  </hyperlinks>
  <pageMargins left="0.7" right="0.7" top="0.75" bottom="0.75" header="0.3" footer="0.3"/>
  <pageSetup paperSize="9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39D4-3449-0843-8D40-4C88940B18F7}">
  <dimension ref="A1:AL127"/>
  <sheetViews>
    <sheetView zoomScale="110" zoomScaleNormal="110" workbookViewId="0">
      <selection activeCell="K21" sqref="K21"/>
    </sheetView>
  </sheetViews>
  <sheetFormatPr defaultColWidth="11" defaultRowHeight="15.95"/>
  <cols>
    <col min="1" max="1" width="14.625" customWidth="1"/>
    <col min="2" max="2" width="42.5" customWidth="1"/>
    <col min="3" max="3" width="18.875" customWidth="1"/>
    <col min="4" max="4" width="12" customWidth="1"/>
    <col min="5" max="5" width="15.125" customWidth="1"/>
    <col min="6" max="6" width="16.5" customWidth="1"/>
    <col min="7" max="7" width="15" customWidth="1"/>
    <col min="9" max="9" width="10.875" customWidth="1"/>
    <col min="10" max="10" width="31" customWidth="1"/>
  </cols>
  <sheetData>
    <row r="1" spans="1:38" ht="17.100000000000001" thickBot="1">
      <c r="A1" s="48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</row>
    <row r="2" spans="1:38" ht="29.1">
      <c r="A2" s="48"/>
      <c r="B2" s="104" t="s">
        <v>23</v>
      </c>
      <c r="C2" s="105"/>
      <c r="D2" s="21"/>
      <c r="E2" s="106"/>
      <c r="F2" s="106"/>
      <c r="G2" s="106"/>
      <c r="H2" s="106"/>
      <c r="I2" s="106"/>
      <c r="J2" s="21"/>
      <c r="K2" s="21"/>
      <c r="L2" s="21"/>
      <c r="M2" s="21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</row>
    <row r="3" spans="1:38" ht="29.1">
      <c r="A3" s="48"/>
      <c r="B3" s="75" t="s">
        <v>24</v>
      </c>
      <c r="C3" s="78" t="s">
        <v>25</v>
      </c>
      <c r="D3" s="21"/>
      <c r="E3" s="114" t="s">
        <v>26</v>
      </c>
      <c r="F3" s="114"/>
      <c r="G3" s="114"/>
      <c r="H3" s="114"/>
      <c r="I3" s="114"/>
      <c r="J3" s="21"/>
      <c r="K3" s="21"/>
      <c r="L3" s="21"/>
      <c r="M3" s="21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</row>
    <row r="4" spans="1:38" ht="24">
      <c r="A4" s="48"/>
      <c r="B4" s="27" t="s">
        <v>27</v>
      </c>
      <c r="C4" s="28" t="s">
        <v>28</v>
      </c>
      <c r="D4" s="48"/>
      <c r="E4" s="107" t="s">
        <v>29</v>
      </c>
      <c r="F4" s="107"/>
      <c r="G4" s="108"/>
      <c r="H4" s="107"/>
      <c r="I4" s="65"/>
      <c r="J4" s="48"/>
      <c r="K4" s="48"/>
      <c r="L4" s="21"/>
      <c r="M4" s="21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</row>
    <row r="5" spans="1:38" ht="17.100000000000001" customHeight="1">
      <c r="A5" s="48"/>
      <c r="B5" s="31" t="s">
        <v>30</v>
      </c>
      <c r="C5" s="81">
        <v>90</v>
      </c>
      <c r="D5" s="48"/>
      <c r="E5" s="66" t="s">
        <v>31</v>
      </c>
      <c r="F5" s="68"/>
      <c r="G5" s="71"/>
      <c r="H5" s="70"/>
      <c r="I5" s="79" t="s">
        <v>25</v>
      </c>
      <c r="J5" s="48"/>
      <c r="K5" s="48"/>
      <c r="L5" s="21"/>
      <c r="M5" s="21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7.100000000000001" hidden="1" customHeight="1">
      <c r="A6" s="48"/>
      <c r="B6" s="31" t="s">
        <v>32</v>
      </c>
      <c r="C6" s="81">
        <v>21</v>
      </c>
      <c r="D6" s="48"/>
      <c r="J6" s="48"/>
      <c r="K6" s="48"/>
      <c r="L6" s="21"/>
      <c r="M6" s="21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ht="17.100000000000001" customHeight="1">
      <c r="A7" s="48"/>
      <c r="B7" s="31" t="s">
        <v>33</v>
      </c>
      <c r="C7" s="81">
        <v>7</v>
      </c>
      <c r="D7" s="48"/>
      <c r="E7" s="68" t="s">
        <v>34</v>
      </c>
      <c r="F7" s="69"/>
      <c r="G7" s="71"/>
      <c r="H7" s="70"/>
      <c r="I7" s="80" t="s">
        <v>35</v>
      </c>
      <c r="J7" s="48"/>
      <c r="K7" s="48"/>
      <c r="L7" s="21"/>
      <c r="M7" s="21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1:38" ht="17.100000000000001" customHeight="1">
      <c r="A8" s="48"/>
      <c r="B8" s="76"/>
      <c r="C8" s="77"/>
      <c r="D8" s="48"/>
      <c r="E8" s="66" t="s">
        <v>36</v>
      </c>
      <c r="F8" s="68"/>
      <c r="G8" s="71"/>
      <c r="H8" s="70"/>
      <c r="I8" s="82">
        <v>1</v>
      </c>
      <c r="J8" s="48"/>
      <c r="K8" s="48"/>
      <c r="L8" s="21"/>
      <c r="M8" s="21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</row>
    <row r="9" spans="1:38" ht="17.100000000000001" thickBot="1">
      <c r="A9" s="48"/>
      <c r="B9" s="29"/>
      <c r="C9" s="30"/>
      <c r="D9" s="48"/>
      <c r="E9" s="67"/>
      <c r="F9" s="67"/>
      <c r="G9" s="67"/>
      <c r="H9" s="67"/>
      <c r="I9" s="67"/>
      <c r="J9" s="48"/>
      <c r="K9" s="48"/>
      <c r="L9" s="21"/>
      <c r="M9" s="21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>
      <c r="A10" s="48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</row>
    <row r="11" spans="1:38">
      <c r="A11" s="48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</row>
    <row r="12" spans="1:38" ht="24">
      <c r="A12" s="48"/>
      <c r="B12" s="96" t="s">
        <v>37</v>
      </c>
      <c r="C12" s="97"/>
      <c r="D12" s="97"/>
      <c r="E12" s="112"/>
      <c r="F12" s="112"/>
      <c r="G12" s="112"/>
      <c r="H12" s="113"/>
      <c r="I12" s="21"/>
      <c r="J12" s="96" t="s">
        <v>38</v>
      </c>
      <c r="K12" s="97"/>
      <c r="L12" s="97"/>
      <c r="M12" s="9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38">
      <c r="A13" s="48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38">
      <c r="A14" s="48"/>
      <c r="B14" s="99" t="s">
        <v>39</v>
      </c>
      <c r="C14" s="2"/>
      <c r="D14" s="100" t="s">
        <v>40</v>
      </c>
      <c r="E14" s="100"/>
      <c r="F14" s="100"/>
      <c r="G14" s="100"/>
      <c r="H14" s="100" t="s">
        <v>41</v>
      </c>
      <c r="I14" s="21"/>
      <c r="J14" s="99" t="s">
        <v>42</v>
      </c>
      <c r="K14" s="101" t="s">
        <v>43</v>
      </c>
      <c r="L14" s="102" t="s">
        <v>44</v>
      </c>
      <c r="M14" s="102" t="s">
        <v>45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38">
      <c r="A15" s="48"/>
      <c r="B15" s="99"/>
      <c r="C15" s="2" t="s">
        <v>46</v>
      </c>
      <c r="D15" s="5" t="s">
        <v>47</v>
      </c>
      <c r="E15" s="5" t="s">
        <v>48</v>
      </c>
      <c r="F15" s="5" t="s">
        <v>49</v>
      </c>
      <c r="G15" s="5" t="s">
        <v>50</v>
      </c>
      <c r="H15" s="100"/>
      <c r="I15" s="21"/>
      <c r="J15" s="99"/>
      <c r="K15" s="100"/>
      <c r="L15" s="103"/>
      <c r="M15" s="103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38" hidden="1">
      <c r="A16" s="48"/>
      <c r="B16" s="2" t="s">
        <v>51</v>
      </c>
      <c r="C16" s="4"/>
      <c r="D16" s="4">
        <v>2</v>
      </c>
      <c r="E16" s="4">
        <v>4</v>
      </c>
      <c r="F16" s="4">
        <v>8</v>
      </c>
      <c r="G16" s="4">
        <v>16</v>
      </c>
      <c r="H16" s="4"/>
      <c r="I16" s="21"/>
      <c r="J16" s="2" t="s">
        <v>51</v>
      </c>
      <c r="K16" s="4"/>
      <c r="L16" s="4"/>
      <c r="M16" s="1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38">
      <c r="A17" s="48"/>
      <c r="B17" s="2" t="s">
        <v>52</v>
      </c>
      <c r="C17" s="3">
        <v>1000000</v>
      </c>
      <c r="D17" s="13"/>
      <c r="E17" s="13">
        <v>0</v>
      </c>
      <c r="F17" s="13">
        <v>0</v>
      </c>
      <c r="G17" s="13"/>
      <c r="H17" s="3">
        <f t="shared" ref="H17:H29" si="0">SUM(D17:G17)</f>
        <v>0</v>
      </c>
      <c r="I17" s="21"/>
      <c r="J17" s="2" t="s">
        <v>53</v>
      </c>
      <c r="K17" s="13"/>
      <c r="L17" s="3">
        <v>10</v>
      </c>
      <c r="M17" s="3">
        <f t="shared" ref="M17:M29" si="1">L17*K17</f>
        <v>0</v>
      </c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spans="1:38">
      <c r="A18" s="48"/>
      <c r="B18" s="2" t="s">
        <v>54</v>
      </c>
      <c r="C18" s="3">
        <v>10000000</v>
      </c>
      <c r="D18" s="13">
        <v>0</v>
      </c>
      <c r="E18" s="13">
        <v>0</v>
      </c>
      <c r="F18" s="13">
        <v>0</v>
      </c>
      <c r="G18" s="13">
        <v>0</v>
      </c>
      <c r="H18" s="3">
        <f t="shared" si="0"/>
        <v>0</v>
      </c>
      <c r="I18" s="21"/>
      <c r="J18" s="2" t="s">
        <v>55</v>
      </c>
      <c r="K18" s="13">
        <v>0</v>
      </c>
      <c r="L18" s="3">
        <v>20</v>
      </c>
      <c r="M18" s="3">
        <f t="shared" si="1"/>
        <v>0</v>
      </c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 spans="1:38">
      <c r="A19" s="48"/>
      <c r="B19" s="2" t="s">
        <v>56</v>
      </c>
      <c r="C19" s="3">
        <v>50000000</v>
      </c>
      <c r="D19" s="13"/>
      <c r="E19" s="13">
        <v>0</v>
      </c>
      <c r="F19" s="13">
        <v>0</v>
      </c>
      <c r="G19" s="13">
        <v>0</v>
      </c>
      <c r="H19" s="3">
        <f t="shared" si="0"/>
        <v>0</v>
      </c>
      <c r="I19" s="21"/>
      <c r="J19" s="2" t="s">
        <v>57</v>
      </c>
      <c r="K19" s="13"/>
      <c r="L19" s="3">
        <v>50</v>
      </c>
      <c r="M19" s="3">
        <f t="shared" si="1"/>
        <v>0</v>
      </c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</row>
    <row r="20" spans="1:38">
      <c r="A20" s="48"/>
      <c r="B20" s="109" t="s">
        <v>58</v>
      </c>
      <c r="C20" s="13">
        <v>75000000</v>
      </c>
      <c r="D20" s="13"/>
      <c r="E20" s="13">
        <v>0</v>
      </c>
      <c r="F20" s="13">
        <v>0</v>
      </c>
      <c r="G20" s="13">
        <v>0</v>
      </c>
      <c r="H20" s="3">
        <f t="shared" si="0"/>
        <v>0</v>
      </c>
      <c r="I20" s="21"/>
      <c r="J20" s="2" t="s">
        <v>59</v>
      </c>
      <c r="K20" s="13">
        <v>0</v>
      </c>
      <c r="L20" s="3">
        <v>100</v>
      </c>
      <c r="M20" s="3">
        <f t="shared" si="1"/>
        <v>0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38">
      <c r="A21" s="48"/>
      <c r="B21" s="110"/>
      <c r="C21" s="13">
        <v>0</v>
      </c>
      <c r="D21" s="13"/>
      <c r="E21" s="13"/>
      <c r="F21" s="13"/>
      <c r="G21" s="13"/>
      <c r="H21" s="3">
        <f t="shared" si="0"/>
        <v>0</v>
      </c>
      <c r="I21" s="21"/>
      <c r="J21" s="2" t="s">
        <v>60</v>
      </c>
      <c r="K21" s="13"/>
      <c r="L21" s="3">
        <v>200</v>
      </c>
      <c r="M21" s="3">
        <f t="shared" si="1"/>
        <v>0</v>
      </c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38">
      <c r="A22" s="48"/>
      <c r="B22" s="110"/>
      <c r="C22" s="13">
        <v>0</v>
      </c>
      <c r="D22" s="13"/>
      <c r="E22" s="13"/>
      <c r="F22" s="13"/>
      <c r="G22" s="13"/>
      <c r="H22" s="3">
        <f t="shared" si="0"/>
        <v>0</v>
      </c>
      <c r="I22" s="21"/>
      <c r="J22" s="2" t="s">
        <v>61</v>
      </c>
      <c r="K22" s="13"/>
      <c r="L22" s="13"/>
      <c r="M22" s="3">
        <f t="shared" si="1"/>
        <v>0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spans="1:38">
      <c r="A23" s="48"/>
      <c r="B23" s="110"/>
      <c r="C23" s="13">
        <v>0</v>
      </c>
      <c r="D23" s="13"/>
      <c r="E23" s="13"/>
      <c r="F23" s="13"/>
      <c r="G23" s="13"/>
      <c r="H23" s="3">
        <f t="shared" si="0"/>
        <v>0</v>
      </c>
      <c r="I23" s="21"/>
      <c r="J23" s="2" t="s">
        <v>61</v>
      </c>
      <c r="K23" s="13"/>
      <c r="L23" s="13"/>
      <c r="M23" s="3">
        <f t="shared" si="1"/>
        <v>0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1:38">
      <c r="A24" s="48"/>
      <c r="B24" s="110"/>
      <c r="C24" s="13">
        <v>0</v>
      </c>
      <c r="D24" s="13"/>
      <c r="E24" s="13"/>
      <c r="F24" s="13"/>
      <c r="G24" s="13"/>
      <c r="H24" s="3">
        <f t="shared" si="0"/>
        <v>0</v>
      </c>
      <c r="I24" s="21"/>
      <c r="J24" s="2" t="s">
        <v>61</v>
      </c>
      <c r="K24" s="13"/>
      <c r="L24" s="13"/>
      <c r="M24" s="3">
        <f t="shared" si="1"/>
        <v>0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1:38">
      <c r="A25" s="48"/>
      <c r="B25" s="110"/>
      <c r="C25" s="13">
        <v>0</v>
      </c>
      <c r="D25" s="13"/>
      <c r="E25" s="13"/>
      <c r="F25" s="13"/>
      <c r="G25" s="13"/>
      <c r="H25" s="3">
        <f t="shared" si="0"/>
        <v>0</v>
      </c>
      <c r="I25" s="21"/>
      <c r="J25" s="2" t="s">
        <v>61</v>
      </c>
      <c r="K25" s="13"/>
      <c r="L25" s="13"/>
      <c r="M25" s="3">
        <f t="shared" si="1"/>
        <v>0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</row>
    <row r="26" spans="1:38">
      <c r="A26" s="48"/>
      <c r="B26" s="110"/>
      <c r="C26" s="13">
        <v>0</v>
      </c>
      <c r="D26" s="13"/>
      <c r="E26" s="13"/>
      <c r="F26" s="13"/>
      <c r="G26" s="13"/>
      <c r="H26" s="3">
        <f t="shared" si="0"/>
        <v>0</v>
      </c>
      <c r="I26" s="21"/>
      <c r="J26" s="2" t="s">
        <v>61</v>
      </c>
      <c r="K26" s="13"/>
      <c r="L26" s="13"/>
      <c r="M26" s="3">
        <f t="shared" si="1"/>
        <v>0</v>
      </c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</row>
    <row r="27" spans="1:38">
      <c r="A27" s="48"/>
      <c r="B27" s="110"/>
      <c r="C27" s="13">
        <v>0</v>
      </c>
      <c r="D27" s="13"/>
      <c r="E27" s="13"/>
      <c r="F27" s="13"/>
      <c r="G27" s="13"/>
      <c r="H27" s="3">
        <f t="shared" si="0"/>
        <v>0</v>
      </c>
      <c r="I27" s="21"/>
      <c r="J27" s="2" t="s">
        <v>61</v>
      </c>
      <c r="K27" s="13"/>
      <c r="L27" s="13"/>
      <c r="M27" s="3">
        <f t="shared" si="1"/>
        <v>0</v>
      </c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</row>
    <row r="28" spans="1:38">
      <c r="A28" s="48"/>
      <c r="B28" s="110"/>
      <c r="C28" s="13">
        <v>0</v>
      </c>
      <c r="D28" s="13"/>
      <c r="E28" s="13"/>
      <c r="F28" s="13"/>
      <c r="G28" s="13"/>
      <c r="H28" s="3">
        <f t="shared" si="0"/>
        <v>0</v>
      </c>
      <c r="I28" s="21"/>
      <c r="J28" s="2" t="s">
        <v>61</v>
      </c>
      <c r="K28" s="13"/>
      <c r="L28" s="13"/>
      <c r="M28" s="3">
        <f t="shared" si="1"/>
        <v>0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</row>
    <row r="29" spans="1:38">
      <c r="A29" s="48"/>
      <c r="B29" s="111"/>
      <c r="C29" s="13">
        <v>0</v>
      </c>
      <c r="D29" s="13"/>
      <c r="E29" s="13"/>
      <c r="F29" s="13"/>
      <c r="G29" s="13"/>
      <c r="H29" s="3">
        <f t="shared" si="0"/>
        <v>0</v>
      </c>
      <c r="I29" s="21"/>
      <c r="J29" s="2" t="s">
        <v>61</v>
      </c>
      <c r="K29" s="13"/>
      <c r="L29" s="13"/>
      <c r="M29" s="3">
        <f t="shared" si="1"/>
        <v>0</v>
      </c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</row>
    <row r="30" spans="1:38">
      <c r="A30" s="48"/>
      <c r="B30" s="2" t="s">
        <v>41</v>
      </c>
      <c r="C30" s="4"/>
      <c r="D30" s="3">
        <f>SUM(D17:D29)</f>
        <v>0</v>
      </c>
      <c r="E30" s="3">
        <f>SUM(E17:E29)</f>
        <v>0</v>
      </c>
      <c r="F30" s="3">
        <f>SUM(F17:F29)</f>
        <v>0</v>
      </c>
      <c r="G30" s="3">
        <f>SUM(G17:G29)</f>
        <v>0</v>
      </c>
      <c r="H30" s="3">
        <f>SUM(H17:H29)</f>
        <v>0</v>
      </c>
      <c r="I30" s="21"/>
      <c r="J30" s="2" t="s">
        <v>41</v>
      </c>
      <c r="K30" s="3">
        <f>SUM(K17:K29)</f>
        <v>0</v>
      </c>
      <c r="L30" s="3"/>
      <c r="M30" s="3">
        <f>SUM(M17:M29)</f>
        <v>0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</row>
    <row r="31" spans="1:38">
      <c r="A31" s="4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</row>
    <row r="32" spans="1:38">
      <c r="A32" s="48"/>
      <c r="B32" s="63" t="s">
        <v>62</v>
      </c>
      <c r="C32" s="64">
        <f>TOTAL_FILES</f>
        <v>0</v>
      </c>
      <c r="D32" s="21"/>
      <c r="E32" s="21"/>
      <c r="F32" s="21"/>
      <c r="G32" s="24"/>
      <c r="H32" s="21"/>
      <c r="I32" s="21"/>
      <c r="J32" s="21"/>
      <c r="K32" s="21"/>
      <c r="L32" s="21"/>
      <c r="M32" s="21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</row>
    <row r="33" spans="1:38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>
      <c r="A34" s="24"/>
      <c r="B34" s="24"/>
      <c r="C34" s="21"/>
      <c r="D34" s="21"/>
      <c r="E34" s="21"/>
      <c r="F34" s="21"/>
      <c r="G34" s="21"/>
      <c r="H34" s="21"/>
      <c r="I34" s="21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</row>
    <row r="35" spans="1:38">
      <c r="A35" s="21"/>
      <c r="B35" s="21"/>
      <c r="C35" s="21"/>
      <c r="D35" s="21"/>
      <c r="E35" s="21"/>
      <c r="F35" s="21"/>
      <c r="G35" s="21"/>
      <c r="H35" s="21"/>
      <c r="I35" s="21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</row>
    <row r="36" spans="1:38">
      <c r="A36" s="21"/>
      <c r="B36" s="21"/>
      <c r="C36" s="21"/>
      <c r="D36" s="21"/>
      <c r="E36" s="21"/>
      <c r="F36" s="21"/>
      <c r="G36" s="21"/>
      <c r="H36" s="21"/>
      <c r="I36" s="21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</row>
    <row r="37" spans="1:38">
      <c r="A37" s="21"/>
      <c r="B37" s="21"/>
      <c r="C37" s="21"/>
      <c r="D37" s="21"/>
      <c r="E37" s="21"/>
      <c r="F37" s="21"/>
      <c r="G37" s="21"/>
      <c r="H37" s="21"/>
      <c r="I37" s="21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</row>
    <row r="38" spans="1:38">
      <c r="A38" s="21"/>
      <c r="B38" s="21"/>
      <c r="C38" s="21"/>
      <c r="D38" s="21"/>
      <c r="E38" s="21"/>
      <c r="F38" s="21"/>
      <c r="G38" s="21"/>
      <c r="H38" s="21"/>
      <c r="I38" s="21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</row>
    <row r="39" spans="1:38">
      <c r="A39" s="21"/>
      <c r="B39" s="21"/>
      <c r="C39" s="21"/>
      <c r="D39" s="21"/>
      <c r="E39" s="21"/>
      <c r="F39" s="21"/>
      <c r="G39" s="21"/>
      <c r="H39" s="21"/>
      <c r="I39" s="21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</row>
    <row r="40" spans="1:38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</row>
    <row r="41" spans="1:38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</row>
    <row r="42" spans="1:38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</row>
    <row r="44" spans="1:38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</row>
    <row r="45" spans="1:38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</row>
    <row r="46" spans="1:38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</row>
    <row r="47" spans="1:38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</row>
    <row r="48" spans="1:38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</row>
    <row r="49" spans="1:38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</row>
    <row r="50" spans="1:38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</row>
    <row r="51" spans="1:38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</row>
    <row r="52" spans="1:38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</row>
    <row r="53" spans="1:38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</row>
    <row r="54" spans="1:38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</row>
    <row r="55" spans="1:38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</row>
    <row r="56" spans="1:38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</row>
    <row r="57" spans="1:38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</row>
    <row r="58" spans="1:38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</row>
    <row r="60" spans="1:38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</row>
    <row r="61" spans="1:38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</row>
    <row r="62" spans="1:38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</row>
    <row r="63" spans="1:38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</row>
    <row r="64" spans="1:38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</row>
    <row r="65" spans="1:38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</row>
    <row r="66" spans="1:38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</row>
    <row r="67" spans="1:38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</row>
    <row r="68" spans="1:38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</row>
    <row r="69" spans="1:38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</row>
    <row r="70" spans="1:38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</row>
    <row r="71" spans="1:38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</row>
    <row r="72" spans="1:38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</row>
    <row r="73" spans="1:38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</row>
    <row r="74" spans="1:38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</row>
    <row r="75" spans="1:38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</row>
    <row r="76" spans="1:38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</row>
    <row r="77" spans="1:38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</row>
    <row r="78" spans="1:38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</row>
    <row r="79" spans="1:38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</row>
    <row r="80" spans="1:38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</row>
    <row r="81" spans="1:38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</row>
    <row r="82" spans="1:38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</row>
    <row r="83" spans="1:38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</row>
    <row r="84" spans="1:38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</row>
    <row r="85" spans="1:38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</row>
    <row r="86" spans="1:38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</row>
    <row r="87" spans="1:38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</row>
    <row r="88" spans="1:38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</row>
    <row r="89" spans="1:38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</row>
    <row r="91" spans="1:38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</row>
    <row r="92" spans="1:38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</row>
    <row r="93" spans="1:38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</row>
    <row r="94" spans="1:38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</row>
    <row r="95" spans="1:38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</row>
    <row r="96" spans="1:38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</row>
    <row r="97" spans="1:38" hidden="1">
      <c r="A97" s="48"/>
      <c r="B97" s="49" t="s">
        <v>63</v>
      </c>
      <c r="C97" s="49">
        <f>SUMPRODUCT('File IQ Sizing Inputs'!C17:C29,'File IQ Sizing Inputs'!H17:H29)</f>
        <v>0</v>
      </c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</row>
    <row r="98" spans="1:38" hidden="1">
      <c r="A98" s="48"/>
      <c r="B98" s="49" t="s">
        <v>64</v>
      </c>
      <c r="C98" s="49">
        <f>_xlfn.MAXIFS('File IQ Sizing Inputs'!C17:C29,'File IQ Sizing Inputs'!H17:H29,"&gt;0")</f>
        <v>0</v>
      </c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hidden="1">
      <c r="A99" s="48"/>
      <c r="B99" s="49" t="s">
        <v>65</v>
      </c>
      <c r="C99" s="50" t="str">
        <f>IF(AND(TOTAL_FILES&lt;=20000000,LARGEST_VOLUME_FILES&lt;=10000000),"SMALL",IF(AND(TOTAL_FILES&lt;=100000000,LARGEST_VOLUME_FILES&lt;=50000000),"MEDIUM","LARGE"))</f>
        <v>SMALL</v>
      </c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</row>
    <row r="100" spans="1:38" hidden="1">
      <c r="A100" s="48"/>
      <c r="B100" s="49" t="s">
        <v>66</v>
      </c>
      <c r="C100" s="49">
        <f>SUMPRODUCT('File IQ Sizing Inputs'!D17:D29,'File IQ Sizing Inputs'!C17:C29)*'File IQ Sizing Inputs'!D16+SUMPRODUCT('File IQ Sizing Inputs'!E17:E29,'File IQ Sizing Inputs'!C17:C29)*'File IQ Sizing Inputs'!E16+SUMPRODUCT('File IQ Sizing Inputs'!F17:F29,'File IQ Sizing Inputs'!C17:C29)*'File IQ Sizing Inputs'!F16+SUMPRODUCT('File IQ Sizing Inputs'!G17:G29,'File IQ Sizing Inputs'!C17:C29)*'File IQ Sizing Inputs'!G16</f>
        <v>0</v>
      </c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</row>
    <row r="101" spans="1:38" hidden="1">
      <c r="A101" s="48"/>
      <c r="B101" s="49" t="s">
        <v>67</v>
      </c>
      <c r="C101" s="51">
        <v>0.4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</row>
    <row r="102" spans="1:38" hidden="1">
      <c r="A102" s="48"/>
      <c r="B102" s="49" t="s">
        <v>68</v>
      </c>
      <c r="C102" s="49">
        <f>'File IQ Sizing Inputs'!M30/10</f>
        <v>0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</row>
    <row r="103" spans="1:38" hidden="1">
      <c r="A103" s="48"/>
      <c r="B103" s="49" t="s">
        <v>69</v>
      </c>
      <c r="C103" s="49">
        <v>35</v>
      </c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</row>
    <row r="104" spans="1:38" hidden="1">
      <c r="A104" s="48"/>
      <c r="B104" s="49" t="s">
        <v>70</v>
      </c>
      <c r="C104" s="52">
        <v>0.08</v>
      </c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</row>
    <row r="105" spans="1:38" hidden="1">
      <c r="A105" s="48"/>
      <c r="B105" s="49" t="s">
        <v>71</v>
      </c>
      <c r="C105" s="52">
        <v>0.1</v>
      </c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</row>
    <row r="106" spans="1:38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</row>
    <row r="107" spans="1:38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</row>
    <row r="108" spans="1:38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</row>
    <row r="109" spans="1:38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</row>
    <row r="110" spans="1:38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</row>
    <row r="111" spans="1:38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</row>
    <row r="112" spans="1:38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</row>
    <row r="113" spans="1:38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</row>
    <row r="114" spans="1:38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</row>
    <row r="115" spans="1:38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</row>
    <row r="116" spans="1:38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</row>
    <row r="117" spans="1:38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  <row r="118" spans="1:38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</row>
    <row r="119" spans="1:38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</row>
    <row r="120" spans="1:38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</row>
    <row r="121" spans="1:38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</row>
    <row r="122" spans="1:38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</row>
    <row r="123" spans="1:38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</row>
    <row r="124" spans="1:38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</row>
    <row r="125" spans="1:38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</row>
    <row r="126" spans="1:38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</row>
    <row r="127" spans="1:38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</row>
  </sheetData>
  <sheetProtection algorithmName="SHA-512" hashValue="ViorPsrTrdgS8Rwt12cHKRWf4lKremVgAAXEjh0doPjfMpJG79btF0ho72xB60JuoQa8ikRN7J/G0wG3O89Hbw==" saltValue="2pqF9hB21rB1lK9gwtNeGw==" spinCount="100000" sheet="1" objects="1" scenarios="1"/>
  <mergeCells count="14">
    <mergeCell ref="B2:C2"/>
    <mergeCell ref="E2:I2"/>
    <mergeCell ref="E4:H4"/>
    <mergeCell ref="B20:B29"/>
    <mergeCell ref="B12:H12"/>
    <mergeCell ref="E3:I3"/>
    <mergeCell ref="J12:M12"/>
    <mergeCell ref="B14:B15"/>
    <mergeCell ref="D14:G14"/>
    <mergeCell ref="H14:H15"/>
    <mergeCell ref="J14:J15"/>
    <mergeCell ref="K14:K15"/>
    <mergeCell ref="L14:L15"/>
    <mergeCell ref="M14:M15"/>
  </mergeCells>
  <conditionalFormatting sqref="C5">
    <cfRule type="cellIs" dxfId="18" priority="10" operator="lessThan">
      <formula>32</formula>
    </cfRule>
    <cfRule type="cellIs" dxfId="17" priority="11" operator="greaterThan">
      <formula>365</formula>
    </cfRule>
  </conditionalFormatting>
  <conditionalFormatting sqref="C7">
    <cfRule type="cellIs" dxfId="16" priority="1" operator="lessThan">
      <formula>7</formula>
    </cfRule>
    <cfRule type="cellIs" dxfId="15" priority="2" operator="greaterThan">
      <formula>21</formula>
    </cfRule>
  </conditionalFormatting>
  <conditionalFormatting sqref="C17:C29">
    <cfRule type="cellIs" dxfId="14" priority="19" stopIfTrue="1" operator="greaterThan">
      <formula>100000000</formula>
    </cfRule>
  </conditionalFormatting>
  <conditionalFormatting sqref="C32">
    <cfRule type="cellIs" dxfId="13" priority="17" operator="greaterThan">
      <formula>700000000</formula>
    </cfRule>
  </conditionalFormatting>
  <conditionalFormatting sqref="H30">
    <cfRule type="expression" dxfId="12" priority="3">
      <formula>H30&gt;47</formula>
    </cfRule>
    <cfRule type="expression" dxfId="11" priority="30" stopIfTrue="1">
      <formula>AND(C3="false", H30&gt;19)</formula>
    </cfRule>
  </conditionalFormatting>
  <conditionalFormatting sqref="I8">
    <cfRule type="cellIs" dxfId="10" priority="6" operator="lessThan">
      <formula>1</formula>
    </cfRule>
    <cfRule type="cellIs" dxfId="9" priority="7" operator="greaterThan">
      <formula>10</formula>
    </cfRule>
  </conditionalFormatting>
  <conditionalFormatting sqref="K30">
    <cfRule type="cellIs" dxfId="8" priority="20" operator="greaterThan">
      <formula>20</formula>
    </cfRule>
  </conditionalFormatting>
  <conditionalFormatting sqref="L17:L21">
    <cfRule type="cellIs" dxfId="7" priority="16" stopIfTrue="1" operator="greaterThan">
      <formula>500</formula>
    </cfRule>
  </conditionalFormatting>
  <conditionalFormatting sqref="L22:L29">
    <cfRule type="cellIs" dxfId="6" priority="14" operator="greaterThan">
      <formula>1500</formula>
    </cfRule>
  </conditionalFormatting>
  <conditionalFormatting sqref="M17:M30">
    <cfRule type="cellIs" dxfId="5" priority="18" operator="greaterThan">
      <formula>3000</formula>
    </cfRule>
  </conditionalFormatting>
  <dataValidations count="2">
    <dataValidation type="list" allowBlank="1" showInputMessage="1" showErrorMessage="1" sqref="I7" xr:uid="{1A707B73-B0AB-5E49-AC6F-84D0366065C0}">
      <formula1>"daily,weekly"</formula1>
    </dataValidation>
    <dataValidation type="list" allowBlank="1" showInputMessage="1" showErrorMessage="1" sqref="I5 C3" xr:uid="{9996B58B-D1F9-4B45-B19B-E40EC96BE260}">
      <formula1>"true,false"</formula1>
    </dataValidation>
  </dataValidations>
  <pageMargins left="0.7" right="0.7" top="0.75" bottom="0.75" header="0.3" footer="0.3"/>
  <ignoredErrors>
    <ignoredError sqref="D30:E30 F30:G30 H17:H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724D-44E5-E94D-9219-552CEE1C7E7A}">
  <dimension ref="A1:Q64"/>
  <sheetViews>
    <sheetView showGridLines="0" zoomScale="130" zoomScaleNormal="130" workbookViewId="0">
      <selection activeCell="G19" sqref="G19"/>
    </sheetView>
  </sheetViews>
  <sheetFormatPr defaultColWidth="10.875" defaultRowHeight="15.95"/>
  <cols>
    <col min="1" max="1" width="12.875" style="1" customWidth="1"/>
    <col min="2" max="2" width="57.875" style="1" customWidth="1"/>
    <col min="3" max="4" width="16.625" style="1" customWidth="1"/>
    <col min="5" max="5" width="16.125" style="1" customWidth="1"/>
    <col min="6" max="6" width="11.875" style="1" customWidth="1"/>
    <col min="7" max="7" width="14.125" style="1" customWidth="1"/>
    <col min="8" max="8" width="15.125" style="1" customWidth="1"/>
    <col min="9" max="9" width="14" style="1" customWidth="1"/>
    <col min="10" max="10" width="27.875" style="1" customWidth="1"/>
    <col min="11" max="11" width="21" style="1" bestFit="1" customWidth="1"/>
    <col min="12" max="16384" width="10.875" style="1"/>
  </cols>
  <sheetData>
    <row r="1" spans="2:17"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2:17" ht="24">
      <c r="B2" s="115" t="s">
        <v>72</v>
      </c>
      <c r="C2" s="116"/>
      <c r="D2" s="116"/>
      <c r="E2" s="116"/>
      <c r="G2" s="21"/>
      <c r="H2" s="21"/>
      <c r="I2" s="21"/>
      <c r="K2" s="21"/>
      <c r="L2" s="21"/>
      <c r="M2" s="21"/>
      <c r="N2" s="21"/>
      <c r="O2" s="21"/>
      <c r="P2" s="21"/>
      <c r="Q2" s="21"/>
    </row>
    <row r="3" spans="2:17" ht="15.95" customHeight="1">
      <c r="B3" s="2"/>
      <c r="C3" s="2" t="s">
        <v>73</v>
      </c>
      <c r="D3" s="2" t="s">
        <v>74</v>
      </c>
      <c r="E3" s="2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2:17" ht="15" hidden="1" customHeight="1">
      <c r="B4" s="2" t="s">
        <v>75</v>
      </c>
      <c r="C4" s="3">
        <v>8</v>
      </c>
      <c r="D4" s="3">
        <v>8</v>
      </c>
      <c r="E4" s="3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ht="15" hidden="1" customHeight="1">
      <c r="B5" s="2" t="s">
        <v>76</v>
      </c>
      <c r="C5" s="3">
        <v>5</v>
      </c>
      <c r="D5" s="3">
        <v>8</v>
      </c>
      <c r="E5" s="3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2:17" ht="15" hidden="1" customHeight="1">
      <c r="B6" s="2" t="s">
        <v>77</v>
      </c>
      <c r="C6" s="3">
        <v>4</v>
      </c>
      <c r="D6" s="3">
        <f>IF(SYSTEM_SIZE="SMALL",20,IF(SYSTEM_SIZE="MEDIUM",52,116))</f>
        <v>20</v>
      </c>
      <c r="E6" s="3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2:17" ht="15" hidden="1" customHeight="1">
      <c r="B7" s="2" t="s">
        <v>78</v>
      </c>
      <c r="C7" s="11">
        <f>CEILING('File IQ Sizing Inputs'!M30/740,1)</f>
        <v>0</v>
      </c>
      <c r="D7" s="3">
        <v>2</v>
      </c>
      <c r="E7" s="3"/>
      <c r="F7" s="14"/>
      <c r="G7" s="22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ht="15" hidden="1" customHeight="1">
      <c r="B8" s="2" t="s">
        <v>79</v>
      </c>
      <c r="C8" s="12">
        <v>1.5</v>
      </c>
      <c r="D8" s="3">
        <v>2</v>
      </c>
      <c r="E8" s="3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 ht="15" hidden="1" customHeight="1">
      <c r="B9" s="2" t="s">
        <v>80</v>
      </c>
      <c r="C9" s="12">
        <v>1</v>
      </c>
      <c r="D9" s="3">
        <v>8</v>
      </c>
      <c r="E9" s="3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 ht="15" hidden="1" customHeight="1">
      <c r="B10" s="2" t="s">
        <v>81</v>
      </c>
      <c r="C10" s="3">
        <f>MAX(C4+MAX(C5:C6)+C7+C8+C9,C7*2)</f>
        <v>15.5</v>
      </c>
      <c r="D10" s="3">
        <f>D4+MAX(D5:D6)+D7+D8+D9</f>
        <v>40</v>
      </c>
      <c r="E10" s="3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 ht="15" hidden="1" customHeight="1">
      <c r="B11" s="2" t="s">
        <v>82</v>
      </c>
      <c r="C11" s="4">
        <f>IF(BACKUPS_ENABLED="true",(MIN_CORES/100)*8,0)</f>
        <v>0</v>
      </c>
      <c r="D11" s="3"/>
      <c r="E11" s="3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2:17" ht="15" customHeight="1">
      <c r="B12" s="2" t="s">
        <v>83</v>
      </c>
      <c r="C12" s="6">
        <f>POWER(2,LEN(DEC2BIN(MAX(MIN_CORES + BACKUP_CORES,MIN_RAM/4))))</f>
        <v>16</v>
      </c>
      <c r="D12" s="15">
        <f>POWER(2,LEN(DEC2BIN(MAX((MIN_CORES + BACKUP_CORES)*2,MIN_RAM-1))))</f>
        <v>64</v>
      </c>
      <c r="E12" s="6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2:17">
      <c r="C13" s="25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7" ht="24">
      <c r="B14" s="2" t="s">
        <v>84</v>
      </c>
      <c r="C14" s="16" t="s">
        <v>85</v>
      </c>
      <c r="D14" s="16" t="s">
        <v>86</v>
      </c>
      <c r="E14" s="16" t="s">
        <v>87</v>
      </c>
      <c r="F14" s="16" t="s">
        <v>88</v>
      </c>
      <c r="G14" s="23" t="s">
        <v>89</v>
      </c>
      <c r="H14" s="23" t="s">
        <v>90</v>
      </c>
    </row>
    <row r="15" spans="2:17" ht="24">
      <c r="B15" s="2" t="s">
        <v>91</v>
      </c>
      <c r="C15" s="17" t="str">
        <f>_xlfn.CONCAT("D",C12,IF(D12=C12*2,"l","a"),"s_v5")</f>
        <v>D16as_v5</v>
      </c>
      <c r="D15" s="17" t="str" cm="1">
        <f t="array" ref="D15">IF(D12 = C12 * 2, "c5a.", "m5a.") &amp; _xlfn.SWITCH(C12, 2, "large", 4, "xlarge", 8, "2xlarge", 16, "4xlarge", 32, "8xlarge", 48, "12xlarge", 64, "16xlarge", 96, "24xlarge", "Undefined")</f>
        <v>m5a.4xlarge</v>
      </c>
      <c r="E15" s="19" t="s">
        <v>92</v>
      </c>
      <c r="F15" s="19" t="s">
        <v>93</v>
      </c>
      <c r="G15" s="19" t="s">
        <v>93</v>
      </c>
      <c r="H15" s="19" t="s">
        <v>93</v>
      </c>
    </row>
    <row r="17" spans="2:5" ht="24">
      <c r="B17" s="115" t="s">
        <v>94</v>
      </c>
      <c r="C17" s="116"/>
      <c r="D17" s="116"/>
      <c r="E17" s="116"/>
    </row>
    <row r="18" spans="2:5">
      <c r="B18" s="2"/>
      <c r="C18" s="2" t="s">
        <v>95</v>
      </c>
      <c r="D18" s="2" t="s">
        <v>96</v>
      </c>
      <c r="E18" s="2" t="s">
        <v>97</v>
      </c>
    </row>
    <row r="19" spans="2:5">
      <c r="B19" s="2" t="s">
        <v>98</v>
      </c>
      <c r="C19" s="15">
        <v>64</v>
      </c>
      <c r="D19" s="7">
        <v>150</v>
      </c>
      <c r="E19" s="7">
        <v>2300</v>
      </c>
    </row>
    <row r="20" spans="2:5">
      <c r="B20" s="2" t="s">
        <v>99</v>
      </c>
      <c r="C20" s="15">
        <f>MIN(IF(SYSTEM_SIZE="SMALL",512,IF(SYSTEM_SIZE="MEDIUM",1024,2048)), NIQ_DB_DISK * 1024 - 1)</f>
        <v>512</v>
      </c>
      <c r="D20" s="6">
        <f>IF(SYSTEM_SIZE="SMALL",150,IF(SYSTEM_SIZE="MEDIUM",200,250))</f>
        <v>150</v>
      </c>
      <c r="E20" s="6">
        <f>IF(SYSTEM_SIZE="SMALL",2300,IF(SYSTEM_SIZE="MEDIUM",5000,7500))</f>
        <v>2300</v>
      </c>
    </row>
    <row r="21" spans="2:5" hidden="1">
      <c r="B21" s="2" t="s">
        <v>100</v>
      </c>
      <c r="C21" s="7">
        <f>ADJUSTED_FILES * 512</f>
        <v>0</v>
      </c>
      <c r="D21" s="6"/>
      <c r="E21" s="6"/>
    </row>
    <row r="22" spans="2:5" hidden="1">
      <c r="B22" s="2" t="s">
        <v>101</v>
      </c>
      <c r="C22" s="7">
        <f>ADJUSTED_FILES * 512</f>
        <v>0</v>
      </c>
      <c r="D22" s="6"/>
      <c r="E22" s="6"/>
    </row>
    <row r="23" spans="2:5" hidden="1">
      <c r="B23" s="2" t="s">
        <v>102</v>
      </c>
      <c r="C23" s="7">
        <f>TOTAL_VOLUMES * 256 * 1024 * AGG_RETENTION_DAYS</f>
        <v>0</v>
      </c>
      <c r="D23" s="6"/>
      <c r="E23" s="6"/>
    </row>
    <row r="24" spans="2:5" hidden="1">
      <c r="B24" s="2" t="s">
        <v>103</v>
      </c>
      <c r="C24" s="7">
        <f>TOTAL_VOLUMES * 256 * 1024</f>
        <v>0</v>
      </c>
      <c r="D24" s="6"/>
      <c r="E24" s="6"/>
    </row>
    <row r="25" spans="2:5" hidden="1">
      <c r="B25" s="2" t="s">
        <v>104</v>
      </c>
      <c r="C25" s="7">
        <f>TOTAL_VOLUMES * 256 * 1024</f>
        <v>0</v>
      </c>
      <c r="D25" s="6"/>
      <c r="E25" s="6"/>
    </row>
    <row r="26" spans="2:5" hidden="1">
      <c r="B26" s="2" t="s">
        <v>105</v>
      </c>
      <c r="C26" s="7">
        <f>TOTAL_FILES * 512</f>
        <v>0</v>
      </c>
      <c r="D26" s="6"/>
      <c r="E26" s="6"/>
    </row>
    <row r="27" spans="2:5" hidden="1">
      <c r="B27" s="2" t="s">
        <v>106</v>
      </c>
      <c r="C27" s="7">
        <f>ADJUSTED_FILES * 120</f>
        <v>0</v>
      </c>
      <c r="D27" s="6"/>
      <c r="E27" s="6"/>
    </row>
    <row r="28" spans="2:5" hidden="1">
      <c r="B28" s="2" t="s">
        <v>107</v>
      </c>
      <c r="C28" s="7" cm="1">
        <f t="array" ref="C28">512*'File IQ Sizing Inputs'!M30*60*60*24* RAW_RETENTION_DAYS</f>
        <v>0</v>
      </c>
      <c r="D28" s="6"/>
      <c r="E28" s="6"/>
    </row>
    <row r="29" spans="2:5" hidden="1">
      <c r="B29" s="2" t="s">
        <v>108</v>
      </c>
      <c r="C29" s="7">
        <f>128*96*TOTAL_VOLUMES*TOTAL_FILERS*10*AGG_RETENTION_DAYS</f>
        <v>0</v>
      </c>
      <c r="D29" s="6"/>
      <c r="E29" s="6"/>
    </row>
    <row r="30" spans="2:5" hidden="1">
      <c r="B30" s="2" t="s">
        <v>109</v>
      </c>
      <c r="C30" s="7">
        <f>300*96*TOTAL_VOLUMES*TOTAL_FILERS*ADJUSTED_USERS*4*AGG_RETENTION_DAYS</f>
        <v>0</v>
      </c>
      <c r="D30" s="6"/>
      <c r="E30" s="6"/>
    </row>
    <row r="31" spans="2:5" hidden="1">
      <c r="B31" s="2" t="s">
        <v>110</v>
      </c>
      <c r="C31" s="7" cm="1">
        <f t="array" ref="C31">300*96*TOTAL_VOLUMES*TOTAL_FILERS*ADJUSTED_USERS*4*AGG_RETENTION_DAYS_LARGE</f>
        <v>0</v>
      </c>
      <c r="D31" s="6"/>
      <c r="E31" s="6"/>
    </row>
    <row r="32" spans="2:5" hidden="1">
      <c r="B32" s="2" t="s">
        <v>111</v>
      </c>
      <c r="C32" s="7">
        <f>128*96*TOTAL_VOLUMES*TOTAL_FILERS*10*AGG_RETENTION_DAYS</f>
        <v>0</v>
      </c>
      <c r="D32" s="6"/>
      <c r="E32" s="6"/>
    </row>
    <row r="33" spans="2:11" hidden="1">
      <c r="B33" s="2" t="s">
        <v>112</v>
      </c>
      <c r="C33" s="7">
        <f>400*96*TOTAL_VOLUMES*TOTAL_FILERS*ADJUSTED_USERS*20*AGG_RETENTION_DAYS</f>
        <v>0</v>
      </c>
      <c r="D33" s="6"/>
      <c r="E33" s="6"/>
    </row>
    <row r="34" spans="2:11" hidden="1">
      <c r="B34" s="2" t="s">
        <v>113</v>
      </c>
      <c r="C34" s="7">
        <f>300*96*TOTAL_VOLUMES*TOTAL_FILERS*ADJUSTED_USERS*AGG_RETENTION_DAYS</f>
        <v>0</v>
      </c>
      <c r="D34" s="6"/>
      <c r="E34" s="6"/>
    </row>
    <row r="35" spans="2:11" hidden="1">
      <c r="B35" s="2" t="s">
        <v>114</v>
      </c>
      <c r="C35" s="7">
        <f>400*96*TOTAL_VOLUMES*TOTAL_FILERS*ADJUSTED_USERS*AGG_RETENTION_DAYS</f>
        <v>0</v>
      </c>
      <c r="D35" s="6"/>
      <c r="E35" s="6"/>
    </row>
    <row r="36" spans="2:11" hidden="1">
      <c r="B36" s="2" t="s">
        <v>115</v>
      </c>
      <c r="C36" s="7">
        <f>400*96*TOTAL_VOLUMES*TOTAL_FILERS*ADJUSTED_USERS*AGG_RETENTION_DAYS</f>
        <v>0</v>
      </c>
      <c r="D36" s="6"/>
      <c r="E36" s="6"/>
    </row>
    <row r="37" spans="2:11" hidden="1">
      <c r="B37" s="2" t="s">
        <v>116</v>
      </c>
      <c r="C37" s="7">
        <f>400*96*TOTAL_VOLUMES*TOTAL_FILERS*ADJUSTED_USERS*4*AGG_RETENTION_DAYS</f>
        <v>0</v>
      </c>
      <c r="D37" s="6"/>
      <c r="E37" s="6"/>
    </row>
    <row r="38" spans="2:11" hidden="1">
      <c r="B38" s="2" t="s">
        <v>117</v>
      </c>
      <c r="C38" s="7">
        <f>400*96*TOTAL_VOLUMES*TOTAL_FILERS*ADJUSTED_USERS*AGG_RETENTION_DAYS</f>
        <v>0</v>
      </c>
      <c r="D38" s="6"/>
      <c r="E38" s="6"/>
    </row>
    <row r="39" spans="2:11" hidden="1">
      <c r="B39" s="2" t="s">
        <v>118</v>
      </c>
      <c r="C39" s="7">
        <f>128*96*TOTAL_VOLUMES*TOTAL_FILERS*ADJUSTED_USERS*AGG_RETENTION_DAYS</f>
        <v>0</v>
      </c>
      <c r="D39" s="6"/>
      <c r="E39" s="6"/>
    </row>
    <row r="40" spans="2:11" hidden="1">
      <c r="B40" s="2" t="s">
        <v>119</v>
      </c>
      <c r="C40" s="7">
        <f>150*96*TOTAL_VOLUMES*TOTAL_FILERS*AGG_RETENTION_DAYS</f>
        <v>0</v>
      </c>
      <c r="D40" s="6"/>
      <c r="E40" s="6"/>
    </row>
    <row r="41" spans="2:11" hidden="1">
      <c r="B41" s="2" t="s">
        <v>120</v>
      </c>
      <c r="C41" s="7">
        <f>235*96*TOTAL_VOLUMES*TOTAL_FILERS*ADJUSTED_USERS*AGG_RETENTION_DAYS</f>
        <v>0</v>
      </c>
      <c r="D41" s="6"/>
      <c r="E41" s="6"/>
    </row>
    <row r="42" spans="2:11" hidden="1">
      <c r="B42" s="2" t="s">
        <v>121</v>
      </c>
      <c r="C42" s="7" cm="1">
        <f t="array" ref="C42">300*TOTAL_VOLUMES*TOTAL_FILERS*ADJUSTED_USERS*4*AGG_RETENTION_DAYS_LARGE</f>
        <v>0</v>
      </c>
      <c r="D42" s="6"/>
      <c r="E42" s="6"/>
    </row>
    <row r="43" spans="2:11" hidden="1">
      <c r="B43" s="2" t="s">
        <v>122</v>
      </c>
      <c r="C43" s="7">
        <f>300*96*TOTAL_VOLUMES*TOTAL_FILERS*ADJUSTED_USERS*4*2*21</f>
        <v>0</v>
      </c>
      <c r="D43" s="6"/>
      <c r="E43" s="6"/>
    </row>
    <row r="44" spans="2:11" hidden="1">
      <c r="B44" s="2" t="s">
        <v>123</v>
      </c>
      <c r="C44" s="7">
        <f>300*TOTAL_VOLUMES*TOTAL_FILERS*ADJUSTED_USERS*4*2*AGG_RETENTION_DAYS</f>
        <v>0</v>
      </c>
      <c r="D44" s="6"/>
      <c r="E44" s="6"/>
    </row>
    <row r="45" spans="2:11" hidden="1">
      <c r="B45" s="2" t="s">
        <v>124</v>
      </c>
      <c r="C45" s="7">
        <f>2 * 1024 * 1024 * 1024</f>
        <v>2147483648</v>
      </c>
      <c r="D45" s="6"/>
      <c r="E45" s="6"/>
    </row>
    <row r="46" spans="2:11" hidden="1">
      <c r="B46" s="2" t="s">
        <v>125</v>
      </c>
      <c r="C46" s="7">
        <f>SUM(C21:C45)</f>
        <v>2147483648</v>
      </c>
      <c r="D46" s="6"/>
      <c r="E46" s="6"/>
      <c r="J46" s="73"/>
    </row>
    <row r="47" spans="2:11" hidden="1">
      <c r="B47" s="2" t="s">
        <v>126</v>
      </c>
      <c r="C47" s="7">
        <f>C46*DATABASE_HEADROOM</f>
        <v>858993459.20000005</v>
      </c>
      <c r="D47" s="6"/>
      <c r="E47" s="6"/>
      <c r="J47" s="73"/>
    </row>
    <row r="48" spans="2:11">
      <c r="B48" s="2" t="s">
        <v>127</v>
      </c>
      <c r="C48" s="8">
        <f>MAX(1,CEILING((C46+C47) / 1024/1024/1024/1024,1))</f>
        <v>1</v>
      </c>
      <c r="D48" s="6">
        <f>IF(C48=1,200,250)</f>
        <v>200</v>
      </c>
      <c r="E48" s="6">
        <f>IF(C48=1,5000,7500)</f>
        <v>5000</v>
      </c>
      <c r="J48" s="74"/>
      <c r="K48" s="72"/>
    </row>
    <row r="49" spans="1:10" ht="17.100000000000001" thickBot="1"/>
    <row r="50" spans="1:10">
      <c r="B50" s="37" t="s">
        <v>128</v>
      </c>
      <c r="C50" s="38"/>
      <c r="D50" s="38"/>
      <c r="E50" s="38"/>
      <c r="F50" s="38"/>
      <c r="G50" s="38"/>
      <c r="H50" s="38"/>
      <c r="I50" s="39"/>
    </row>
    <row r="51" spans="1:10">
      <c r="B51" s="40" t="s">
        <v>129</v>
      </c>
      <c r="C51" s="41"/>
      <c r="D51" s="41"/>
      <c r="E51" s="41"/>
      <c r="F51" s="41"/>
      <c r="G51" s="42"/>
      <c r="H51" s="42"/>
      <c r="I51" s="43"/>
    </row>
    <row r="52" spans="1:10">
      <c r="B52" s="40" t="s">
        <v>130</v>
      </c>
      <c r="C52" s="41"/>
      <c r="D52" s="41"/>
      <c r="E52" s="41"/>
      <c r="F52" s="41"/>
      <c r="G52" s="42"/>
      <c r="H52" s="42"/>
      <c r="I52" s="43"/>
      <c r="J52" s="73"/>
    </row>
    <row r="53" spans="1:10">
      <c r="B53" s="40" t="s">
        <v>131</v>
      </c>
      <c r="C53" s="41"/>
      <c r="D53" s="41"/>
      <c r="E53" s="41"/>
      <c r="F53" s="41"/>
      <c r="G53" s="42"/>
      <c r="H53" s="42"/>
      <c r="I53" s="43"/>
    </row>
    <row r="54" spans="1:10">
      <c r="B54" s="40" t="s">
        <v>132</v>
      </c>
      <c r="C54" s="41"/>
      <c r="D54" s="41"/>
      <c r="E54" s="41"/>
      <c r="F54" s="41"/>
      <c r="G54" s="42"/>
      <c r="H54" s="42"/>
      <c r="I54" s="43"/>
    </row>
    <row r="55" spans="1:10">
      <c r="B55" s="40" t="s">
        <v>133</v>
      </c>
      <c r="C55" s="41"/>
      <c r="D55" s="41"/>
      <c r="E55" s="41"/>
      <c r="F55" s="41"/>
      <c r="G55" s="42"/>
      <c r="H55" s="42"/>
      <c r="I55" s="43"/>
    </row>
    <row r="56" spans="1:10">
      <c r="B56" s="40" t="s">
        <v>134</v>
      </c>
      <c r="C56" s="41"/>
      <c r="D56" s="41"/>
      <c r="E56" s="41"/>
      <c r="F56" s="41"/>
      <c r="G56" s="42"/>
      <c r="H56" s="42"/>
      <c r="I56" s="43"/>
    </row>
    <row r="57" spans="1:10" ht="17.100000000000001" thickBot="1">
      <c r="B57" s="44"/>
      <c r="C57" s="45"/>
      <c r="D57" s="45"/>
      <c r="E57" s="45"/>
      <c r="F57" s="45"/>
      <c r="G57" s="46"/>
      <c r="H57" s="46"/>
      <c r="I57" s="47"/>
    </row>
    <row r="59" spans="1:10">
      <c r="A59" s="24"/>
      <c r="B59" s="24"/>
      <c r="C59" s="21"/>
      <c r="D59" s="21"/>
      <c r="E59" s="21"/>
      <c r="F59" s="21"/>
      <c r="G59" s="21"/>
      <c r="H59" s="21"/>
      <c r="I59" s="21"/>
    </row>
    <row r="60" spans="1:10">
      <c r="A60" s="21"/>
      <c r="B60" s="21"/>
      <c r="C60" s="21"/>
      <c r="D60" s="21"/>
      <c r="E60" s="21"/>
      <c r="F60" s="21"/>
      <c r="G60" s="21"/>
      <c r="H60" s="21"/>
      <c r="I60" s="21"/>
    </row>
    <row r="61" spans="1:10">
      <c r="A61" s="21"/>
      <c r="B61" s="21"/>
      <c r="C61" s="21"/>
      <c r="D61" s="21"/>
      <c r="E61" s="21"/>
      <c r="F61" s="21"/>
      <c r="G61" s="21"/>
      <c r="H61" s="21"/>
      <c r="I61" s="21"/>
    </row>
    <row r="62" spans="1:10">
      <c r="A62" s="21"/>
      <c r="B62" s="21"/>
      <c r="C62" s="21"/>
      <c r="D62" s="21"/>
      <c r="E62" s="21"/>
      <c r="F62" s="21"/>
      <c r="G62" s="21"/>
      <c r="H62" s="21"/>
      <c r="I62" s="21"/>
    </row>
    <row r="63" spans="1:10">
      <c r="A63" s="21"/>
      <c r="B63" s="21"/>
      <c r="C63" s="21"/>
      <c r="D63" s="21"/>
      <c r="E63" s="21"/>
      <c r="F63" s="21"/>
      <c r="G63" s="21"/>
      <c r="H63" s="21"/>
      <c r="I63" s="21"/>
    </row>
    <row r="64" spans="1:10">
      <c r="A64" s="21"/>
      <c r="B64" s="21"/>
      <c r="C64" s="21"/>
      <c r="D64" s="21"/>
      <c r="E64" s="21"/>
      <c r="F64" s="21"/>
      <c r="G64" s="21"/>
      <c r="H64" s="21"/>
      <c r="I64" s="21"/>
    </row>
  </sheetData>
  <sheetProtection algorithmName="SHA-512" hashValue="rZHtEtA2wq2TMQYzK+G+QmznnXE/vGifykwpAShWxgnJ9cCIeimcCRRKcAtjyTuzoRjP1vEiNsVQb9pPjLZ5Cg==" saltValue="MtBjPPiwDEgHCWFfuWr0yQ==" spinCount="100000" sheet="1" objects="1" scenarios="1"/>
  <mergeCells count="2">
    <mergeCell ref="B17:E17"/>
    <mergeCell ref="B2:E2"/>
  </mergeCells>
  <conditionalFormatting sqref="C7">
    <cfRule type="expression" dxfId="4" priority="26" stopIfTrue="1">
      <formula>(ROUND($C$7,1)=ROUND($C$7,0))</formula>
    </cfRule>
  </conditionalFormatting>
  <conditionalFormatting sqref="C48">
    <cfRule type="cellIs" dxfId="3" priority="20" operator="greaterThanOrEqual">
      <formula>64</formula>
    </cfRule>
  </conditionalFormatting>
  <conditionalFormatting sqref="J48">
    <cfRule type="cellIs" dxfId="2" priority="1" operator="greaterThanOrEqual">
      <formula>64</formula>
    </cfRule>
  </conditionalFormatting>
  <hyperlinks>
    <hyperlink ref="F15" r:id="rId1" xr:uid="{5ECBE6BD-D3DF-493A-9B3C-F15CFD6FF207}"/>
    <hyperlink ref="E15" r:id="rId2" xr:uid="{575E452F-6211-0540-9494-CF28BCBD9235}"/>
    <hyperlink ref="G15" r:id="rId3" xr:uid="{80158138-8F7C-FF49-BC42-9C45430C79E5}"/>
    <hyperlink ref="H15" r:id="rId4" xr:uid="{2D40C5B8-F45C-4C64-846B-4D3EFADC4133}"/>
  </hyperlink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0318-77E6-7841-A5B3-E7B78986DC65}">
  <dimension ref="A1:BU452"/>
  <sheetViews>
    <sheetView zoomScale="130" zoomScaleNormal="130" workbookViewId="0">
      <selection activeCell="F4" sqref="F4"/>
    </sheetView>
  </sheetViews>
  <sheetFormatPr defaultColWidth="11" defaultRowHeight="15.95"/>
  <cols>
    <col min="2" max="2" width="51.875" customWidth="1"/>
    <col min="4" max="4" width="11.875" bestFit="1" customWidth="1"/>
    <col min="5" max="5" width="15" bestFit="1" customWidth="1"/>
    <col min="6" max="6" width="16" bestFit="1" customWidth="1"/>
    <col min="7" max="7" width="16.5" customWidth="1"/>
  </cols>
  <sheetData>
    <row r="1" spans="1:7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</row>
    <row r="2" spans="1:73" ht="24">
      <c r="A2" s="48"/>
      <c r="B2" s="117" t="s">
        <v>135</v>
      </c>
      <c r="C2" s="117"/>
      <c r="D2" s="117"/>
      <c r="E2" s="117"/>
      <c r="F2" s="117"/>
      <c r="G2" s="117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</row>
    <row r="3" spans="1:73">
      <c r="A3" s="48"/>
      <c r="B3" s="35"/>
      <c r="C3" s="33" t="s">
        <v>73</v>
      </c>
      <c r="D3" s="33" t="s">
        <v>74</v>
      </c>
      <c r="E3" s="33" t="s">
        <v>98</v>
      </c>
      <c r="F3" s="33" t="s">
        <v>99</v>
      </c>
      <c r="G3" s="33" t="s">
        <v>127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</row>
    <row r="4" spans="1:73">
      <c r="A4" s="48"/>
      <c r="B4" s="34" t="s">
        <v>136</v>
      </c>
      <c r="C4" s="83"/>
      <c r="D4" s="84"/>
      <c r="E4" s="84"/>
      <c r="F4" s="84"/>
      <c r="G4" s="85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</row>
    <row r="5" spans="1:73">
      <c r="A5" s="48"/>
      <c r="B5" s="34" t="s">
        <v>137</v>
      </c>
      <c r="C5" s="36">
        <f>IF(C4="",0,(C4/'File IQ VM Sizing'!C12))</f>
        <v>0</v>
      </c>
      <c r="D5" s="26">
        <f>IF(D4="",0,(D4/'File IQ VM Sizing'!D12))</f>
        <v>0</v>
      </c>
      <c r="E5" s="26">
        <f>IF(E4="",0,(E4/'File IQ VM Sizing'!C19))</f>
        <v>0</v>
      </c>
      <c r="F5" s="26">
        <f>IF(F4="",0,(F4/'File IQ VM Sizing'!C20))</f>
        <v>0</v>
      </c>
      <c r="G5" s="26">
        <f>IF(G4="",0,(G4/'File IQ VM Sizing'!C48))</f>
        <v>0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</row>
    <row r="6" spans="1:7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</row>
    <row r="7" spans="1:7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</row>
    <row r="8" spans="1:7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</row>
    <row r="9" spans="1:7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</row>
    <row r="10" spans="1:7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</row>
    <row r="11" spans="1:7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</row>
    <row r="12" spans="1:7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</row>
    <row r="13" spans="1:7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</row>
    <row r="14" spans="1:7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</row>
    <row r="15" spans="1:7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</row>
    <row r="16" spans="1:7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</row>
    <row r="17" spans="1:73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</row>
    <row r="18" spans="1:73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</row>
    <row r="19" spans="1:7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</row>
    <row r="20" spans="1:7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</row>
    <row r="21" spans="1:7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</row>
    <row r="22" spans="1:7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</row>
    <row r="23" spans="1:7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</row>
    <row r="24" spans="1:7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</row>
    <row r="25" spans="1:7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</row>
    <row r="26" spans="1:7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</row>
    <row r="27" spans="1:7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</row>
    <row r="28" spans="1:7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</row>
    <row r="29" spans="1:73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</row>
    <row r="30" spans="1:73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</row>
    <row r="31" spans="1:73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</row>
    <row r="32" spans="1:73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</row>
    <row r="33" spans="1:73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</row>
    <row r="34" spans="1:73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</row>
    <row r="35" spans="1:73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</row>
    <row r="36" spans="1:73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</row>
    <row r="37" spans="1:73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</row>
    <row r="38" spans="1:73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</row>
    <row r="39" spans="1:73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</row>
    <row r="40" spans="1:73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</row>
    <row r="41" spans="1:73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</row>
    <row r="42" spans="1:7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</row>
    <row r="43" spans="1:73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</row>
    <row r="44" spans="1:73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</row>
    <row r="45" spans="1:73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</row>
    <row r="46" spans="1:73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</row>
    <row r="47" spans="1:7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</row>
    <row r="48" spans="1:73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</row>
    <row r="49" spans="1:73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</row>
    <row r="50" spans="1:73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</row>
    <row r="51" spans="1:73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</row>
    <row r="52" spans="1:73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</row>
    <row r="53" spans="1:73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</row>
    <row r="54" spans="1:73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</row>
    <row r="55" spans="1:73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</row>
    <row r="56" spans="1:73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</row>
    <row r="57" spans="1:73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</row>
    <row r="58" spans="1:73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</row>
    <row r="59" spans="1:73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</row>
    <row r="60" spans="1:73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</row>
    <row r="61" spans="1:73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</row>
    <row r="62" spans="1:7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</row>
    <row r="63" spans="1:73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</row>
    <row r="64" spans="1:73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</row>
    <row r="65" spans="1:73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</row>
    <row r="66" spans="1:73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</row>
    <row r="67" spans="1:73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</row>
    <row r="68" spans="1:73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</row>
    <row r="69" spans="1:73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</row>
    <row r="70" spans="1:73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</row>
    <row r="71" spans="1:73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</row>
    <row r="72" spans="1:73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</row>
    <row r="73" spans="1:73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</row>
    <row r="74" spans="1:73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</row>
    <row r="75" spans="1:73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</row>
    <row r="76" spans="1:73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</row>
    <row r="77" spans="1:73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</row>
    <row r="78" spans="1:73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</row>
    <row r="79" spans="1:73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</row>
    <row r="80" spans="1:73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</row>
    <row r="81" spans="1:73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</row>
    <row r="82" spans="1:73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</row>
    <row r="83" spans="1:73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</row>
    <row r="84" spans="1:73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</row>
    <row r="85" spans="1:73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</row>
    <row r="86" spans="1:73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</row>
    <row r="87" spans="1:73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</row>
    <row r="88" spans="1:73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</row>
    <row r="89" spans="1:73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</row>
    <row r="90" spans="1:73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</row>
    <row r="91" spans="1:73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</row>
    <row r="92" spans="1:73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</row>
    <row r="93" spans="1:73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</row>
    <row r="94" spans="1:73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</row>
    <row r="95" spans="1:73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</row>
    <row r="96" spans="1:73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</row>
    <row r="97" spans="1:73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</row>
    <row r="98" spans="1:73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</row>
    <row r="99" spans="1:73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</row>
    <row r="100" spans="1:73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</row>
    <row r="101" spans="1:73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</row>
    <row r="102" spans="1:73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</row>
    <row r="103" spans="1:73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</row>
    <row r="104" spans="1:73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</row>
    <row r="105" spans="1:73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</row>
    <row r="106" spans="1:73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</row>
    <row r="107" spans="1:73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</row>
    <row r="108" spans="1:73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</row>
    <row r="109" spans="1:73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</row>
    <row r="110" spans="1:73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</row>
    <row r="111" spans="1:73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</row>
    <row r="112" spans="1:73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</row>
    <row r="113" spans="1:73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</row>
    <row r="114" spans="1:73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</row>
    <row r="115" spans="1:73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</row>
    <row r="116" spans="1:73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</row>
    <row r="117" spans="1:73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</row>
    <row r="118" spans="1:73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</row>
    <row r="119" spans="1:73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</row>
    <row r="120" spans="1:73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</row>
    <row r="121" spans="1:73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</row>
    <row r="122" spans="1:73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</row>
    <row r="123" spans="1:73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</row>
    <row r="124" spans="1:73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</row>
    <row r="125" spans="1:73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</row>
    <row r="126" spans="1:73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</row>
    <row r="127" spans="1:73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</row>
    <row r="128" spans="1:73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</row>
    <row r="129" spans="1:73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</row>
    <row r="130" spans="1:73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</row>
    <row r="131" spans="1:73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</row>
    <row r="132" spans="1:73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</row>
    <row r="133" spans="1:73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</row>
    <row r="134" spans="1:73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</row>
    <row r="135" spans="1:73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</row>
    <row r="136" spans="1:73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</row>
    <row r="137" spans="1:73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</row>
    <row r="138" spans="1:73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</row>
    <row r="139" spans="1:73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</row>
    <row r="140" spans="1:73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</row>
    <row r="141" spans="1:73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</row>
    <row r="142" spans="1:73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</row>
    <row r="143" spans="1:73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</row>
    <row r="144" spans="1:73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</row>
    <row r="145" spans="1:73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</row>
    <row r="146" spans="1:73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</row>
    <row r="147" spans="1:73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</row>
    <row r="148" spans="1:73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</row>
    <row r="149" spans="1:73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</row>
    <row r="150" spans="1:73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</row>
    <row r="151" spans="1:73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</row>
    <row r="152" spans="1:73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</row>
    <row r="153" spans="1:73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</row>
    <row r="154" spans="1:73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</row>
    <row r="155" spans="1:73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</row>
    <row r="156" spans="1:73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</row>
    <row r="157" spans="1:73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</row>
    <row r="158" spans="1:73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</row>
    <row r="159" spans="1:73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</row>
    <row r="160" spans="1:73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</row>
    <row r="161" spans="1:73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</row>
    <row r="162" spans="1:73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</row>
    <row r="163" spans="1:73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</row>
    <row r="164" spans="1:73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</row>
    <row r="165" spans="1:73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</row>
    <row r="166" spans="1:73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</row>
    <row r="167" spans="1:73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</row>
    <row r="168" spans="1:73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</row>
    <row r="169" spans="1:73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</row>
    <row r="170" spans="1:73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</row>
    <row r="171" spans="1:73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</row>
    <row r="172" spans="1:73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</row>
    <row r="173" spans="1:73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</row>
    <row r="174" spans="1:73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</row>
    <row r="175" spans="1:73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</row>
    <row r="176" spans="1:73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</row>
    <row r="177" spans="1:73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</row>
    <row r="178" spans="1:73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</row>
    <row r="179" spans="1:73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</row>
    <row r="180" spans="1:73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</row>
    <row r="181" spans="1:73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</row>
    <row r="182" spans="1:73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</row>
    <row r="183" spans="1:73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</row>
    <row r="184" spans="1:73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</row>
    <row r="185" spans="1:73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</row>
    <row r="186" spans="1:73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</row>
    <row r="187" spans="1:73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</row>
    <row r="188" spans="1:73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</row>
    <row r="189" spans="1:73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</row>
    <row r="190" spans="1:73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</row>
    <row r="191" spans="1:73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</row>
    <row r="192" spans="1:73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</row>
    <row r="193" spans="1:73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</row>
    <row r="194" spans="1:73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</row>
    <row r="195" spans="1:73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</row>
    <row r="196" spans="1:73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</row>
    <row r="197" spans="1:73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</row>
    <row r="198" spans="1:73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</row>
    <row r="199" spans="1:73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</row>
    <row r="200" spans="1:73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</row>
    <row r="201" spans="1:73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</row>
    <row r="202" spans="1:73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</row>
    <row r="203" spans="1:73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</row>
    <row r="204" spans="1:73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</row>
    <row r="205" spans="1:73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</row>
    <row r="206" spans="1:73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</row>
    <row r="207" spans="1:73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</row>
    <row r="208" spans="1:73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</row>
    <row r="209" spans="1:73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</row>
    <row r="210" spans="1:73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</row>
    <row r="211" spans="1:73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</row>
    <row r="212" spans="1:73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</row>
    <row r="213" spans="1:73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</row>
    <row r="214" spans="1:73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</row>
    <row r="215" spans="1:73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</row>
    <row r="216" spans="1:73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</row>
    <row r="217" spans="1:73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</row>
    <row r="218" spans="1:73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</row>
    <row r="219" spans="1:73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</row>
    <row r="220" spans="1:73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</row>
    <row r="221" spans="1:73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</row>
    <row r="222" spans="1:73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</row>
    <row r="223" spans="1:73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</row>
    <row r="224" spans="1:73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</row>
    <row r="225" spans="1:73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</row>
    <row r="226" spans="1:73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</row>
    <row r="227" spans="1:73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</row>
    <row r="228" spans="1:73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</row>
    <row r="229" spans="1:73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</row>
    <row r="230" spans="1:73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</row>
    <row r="231" spans="1:73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</row>
    <row r="232" spans="1:73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</row>
    <row r="233" spans="1:73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</row>
    <row r="234" spans="1:73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</row>
    <row r="235" spans="1:73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</row>
    <row r="236" spans="1:73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</row>
    <row r="237" spans="1:73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</row>
    <row r="238" spans="1:73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</row>
    <row r="239" spans="1:73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</row>
    <row r="240" spans="1:73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</row>
    <row r="241" spans="1:73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</row>
    <row r="242" spans="1:73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</row>
    <row r="243" spans="1:73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</row>
    <row r="244" spans="1:73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</row>
    <row r="245" spans="1:73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</row>
    <row r="246" spans="1:73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</row>
    <row r="247" spans="1:73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</row>
    <row r="248" spans="1:73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</row>
    <row r="249" spans="1:73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</row>
    <row r="250" spans="1:73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</row>
    <row r="251" spans="1:73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</row>
    <row r="252" spans="1:73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</row>
    <row r="253" spans="1:73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</row>
    <row r="254" spans="1:73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</row>
    <row r="255" spans="1:73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</row>
    <row r="256" spans="1:73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</row>
    <row r="257" spans="1:73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</row>
    <row r="258" spans="1:73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</row>
    <row r="259" spans="1:73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</row>
    <row r="260" spans="1:73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</row>
    <row r="261" spans="1:73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</row>
    <row r="262" spans="1:73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</row>
    <row r="263" spans="1:73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</row>
    <row r="264" spans="1:73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</row>
    <row r="265" spans="1:73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</row>
    <row r="266" spans="1:73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</row>
    <row r="267" spans="1:73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</row>
    <row r="268" spans="1:73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</row>
    <row r="269" spans="1:73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</row>
    <row r="270" spans="1:73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</row>
    <row r="271" spans="1:73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</row>
    <row r="272" spans="1:73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</row>
    <row r="273" spans="1:73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</row>
    <row r="274" spans="1:73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</row>
    <row r="275" spans="1:73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</row>
    <row r="276" spans="1:73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</row>
    <row r="277" spans="1:73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</row>
    <row r="278" spans="1:73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</row>
    <row r="279" spans="1:73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</row>
    <row r="280" spans="1:73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</row>
    <row r="281" spans="1:73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</row>
    <row r="282" spans="1:73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</row>
    <row r="283" spans="1:73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</row>
    <row r="284" spans="1:73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</row>
    <row r="285" spans="1:73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</row>
    <row r="286" spans="1:73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</row>
    <row r="287" spans="1:73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</row>
    <row r="288" spans="1:73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</row>
    <row r="289" spans="1:73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</row>
    <row r="290" spans="1:73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</row>
    <row r="291" spans="1:73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</row>
    <row r="292" spans="1:73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</row>
    <row r="293" spans="1:73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</row>
    <row r="294" spans="1:73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</row>
    <row r="295" spans="1:73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</row>
    <row r="296" spans="1:73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</row>
    <row r="297" spans="1:73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</row>
    <row r="298" spans="1:73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</row>
    <row r="299" spans="1:73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</row>
    <row r="300" spans="1:73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</row>
    <row r="301" spans="1:73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</row>
    <row r="302" spans="1:73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</row>
    <row r="303" spans="1:73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</row>
    <row r="304" spans="1:73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</row>
    <row r="305" spans="1:73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</row>
    <row r="306" spans="1:73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</row>
    <row r="307" spans="1:73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</row>
    <row r="308" spans="1:73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</row>
    <row r="309" spans="1:73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</row>
    <row r="310" spans="1:73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</row>
    <row r="311" spans="1:73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</row>
    <row r="312" spans="1:73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</row>
    <row r="313" spans="1:73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</row>
    <row r="314" spans="1:73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</row>
    <row r="315" spans="1:73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</row>
    <row r="316" spans="1:73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</row>
    <row r="317" spans="1:73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</row>
    <row r="318" spans="1:73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</row>
    <row r="319" spans="1:73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</row>
    <row r="320" spans="1:73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</row>
    <row r="321" spans="1:73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</row>
    <row r="322" spans="1:73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</row>
    <row r="323" spans="1:73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</row>
    <row r="324" spans="1:73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</row>
    <row r="325" spans="1:73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</row>
    <row r="326" spans="1:73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</row>
    <row r="327" spans="1:73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</row>
    <row r="328" spans="1:73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</row>
    <row r="329" spans="1:73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</row>
    <row r="330" spans="1:73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</row>
    <row r="331" spans="1:73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</row>
    <row r="332" spans="1:73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</row>
    <row r="333" spans="1:73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</row>
    <row r="334" spans="1:73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</row>
    <row r="335" spans="1:73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</row>
    <row r="336" spans="1:73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</row>
    <row r="337" spans="1:73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</row>
    <row r="338" spans="1:73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</row>
    <row r="339" spans="1:73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</row>
    <row r="340" spans="1:73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</row>
    <row r="341" spans="1:73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</row>
    <row r="342" spans="1:73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</row>
    <row r="343" spans="1:73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</row>
    <row r="344" spans="1:73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</row>
    <row r="345" spans="1:73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</row>
    <row r="346" spans="1:73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</row>
    <row r="347" spans="1:73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</row>
    <row r="348" spans="1:73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</row>
    <row r="349" spans="1:73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</row>
    <row r="350" spans="1:73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</row>
    <row r="351" spans="1:73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</row>
    <row r="352" spans="1:73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</row>
    <row r="353" spans="1:73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</row>
    <row r="354" spans="1:73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</row>
    <row r="355" spans="1:73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</row>
    <row r="356" spans="1:73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</row>
    <row r="357" spans="1:73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</row>
    <row r="358" spans="1:73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</row>
    <row r="359" spans="1:73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</row>
    <row r="360" spans="1:73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</row>
    <row r="361" spans="1:73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</row>
    <row r="362" spans="1:73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</row>
    <row r="363" spans="1:73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</row>
    <row r="364" spans="1:73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</row>
    <row r="365" spans="1:73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</row>
    <row r="366" spans="1:73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</row>
    <row r="367" spans="1:73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</row>
    <row r="368" spans="1:73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</row>
    <row r="369" spans="1:73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</row>
    <row r="370" spans="1:73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</row>
    <row r="371" spans="1:73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</row>
    <row r="372" spans="1:73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</row>
    <row r="373" spans="1:73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</row>
    <row r="374" spans="1:73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</row>
    <row r="375" spans="1:73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</row>
    <row r="376" spans="1:73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</row>
    <row r="377" spans="1:73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</row>
    <row r="378" spans="1:73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</row>
    <row r="379" spans="1:73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</row>
    <row r="380" spans="1:73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</row>
    <row r="381" spans="1:73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</row>
    <row r="382" spans="1:73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</row>
    <row r="383" spans="1:73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</row>
    <row r="384" spans="1:73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</row>
    <row r="385" spans="1:73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</row>
    <row r="386" spans="1:73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</row>
    <row r="387" spans="1:73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</row>
    <row r="388" spans="1:73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</row>
    <row r="389" spans="1:73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</row>
    <row r="390" spans="1:73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</row>
    <row r="391" spans="1:73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</row>
    <row r="392" spans="1:73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</row>
    <row r="393" spans="1:73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</row>
    <row r="394" spans="1:73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</row>
    <row r="395" spans="1:73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</row>
    <row r="396" spans="1:73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</row>
    <row r="397" spans="1:73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</row>
    <row r="398" spans="1:73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</row>
    <row r="399" spans="1:73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</row>
    <row r="400" spans="1:73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</row>
    <row r="401" spans="1:73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</row>
    <row r="402" spans="1:73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</row>
    <row r="403" spans="1:73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</row>
    <row r="404" spans="1:73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</row>
    <row r="405" spans="1:73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</row>
    <row r="406" spans="1:73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</row>
    <row r="407" spans="1:73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</row>
    <row r="408" spans="1:73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</row>
    <row r="409" spans="1:73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</row>
    <row r="410" spans="1:73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</row>
    <row r="411" spans="1:73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</row>
    <row r="412" spans="1:73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</row>
    <row r="413" spans="1:73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</row>
    <row r="414" spans="1:73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</row>
    <row r="415" spans="1:73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</row>
    <row r="416" spans="1:73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</row>
    <row r="417" spans="1:73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</row>
    <row r="418" spans="1:73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</row>
    <row r="419" spans="1:73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</row>
    <row r="420" spans="1:73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</row>
    <row r="421" spans="1:73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</row>
    <row r="422" spans="1:73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</row>
    <row r="423" spans="1:73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</row>
    <row r="424" spans="1:73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</row>
    <row r="425" spans="1:73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</row>
    <row r="426" spans="1:73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</row>
    <row r="427" spans="1:73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</row>
    <row r="428" spans="1:73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</row>
    <row r="429" spans="1:73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</row>
    <row r="430" spans="1:73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</row>
    <row r="431" spans="1:73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</row>
    <row r="432" spans="1:73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</row>
    <row r="433" spans="1:73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</row>
    <row r="434" spans="1:73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</row>
    <row r="435" spans="1:73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</row>
    <row r="436" spans="1:73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</row>
    <row r="437" spans="1:73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</row>
    <row r="438" spans="1:73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</row>
    <row r="439" spans="1:73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</row>
    <row r="440" spans="1:73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</row>
    <row r="441" spans="1:73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</row>
    <row r="442" spans="1:73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</row>
    <row r="443" spans="1:73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</row>
    <row r="444" spans="1:73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</row>
    <row r="445" spans="1:73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</row>
    <row r="446" spans="1:73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</row>
    <row r="447" spans="1:73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</row>
    <row r="448" spans="1:73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</row>
    <row r="449" spans="1:30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</row>
    <row r="450" spans="1:30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</row>
    <row r="451" spans="1:30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</row>
    <row r="452" spans="1:30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</row>
  </sheetData>
  <sheetProtection algorithmName="SHA-512" hashValue="q12wdtwM01vi92SYkRmufEXHm3tsiYzI/4X2hK/e1ekcQZ7EXFLZFyc70yRHxaOxUnq4JNYbW+Uo59IWRbwuwg==" saltValue="sJupZMjwZ+CyNkk3HujMGQ==" spinCount="100000" sheet="1" objects="1" scenarios="1"/>
  <mergeCells count="1">
    <mergeCell ref="B2:G2"/>
  </mergeCells>
  <conditionalFormatting sqref="C5:G5">
    <cfRule type="expression" dxfId="1" priority="1">
      <formula>C5&gt;=1</formula>
    </cfRule>
    <cfRule type="expression" dxfId="0" priority="2">
      <formula>C5&lt;1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4E6A-ABF8-EB4E-9E04-C9CFFCE0E38B}">
  <dimension ref="A1:BJ160"/>
  <sheetViews>
    <sheetView zoomScale="130" zoomScaleNormal="130" workbookViewId="0">
      <selection activeCell="C4" sqref="C4"/>
    </sheetView>
  </sheetViews>
  <sheetFormatPr defaultColWidth="11" defaultRowHeight="15.95"/>
  <cols>
    <col min="1" max="1" width="13.625" customWidth="1"/>
    <col min="2" max="2" width="49.375" customWidth="1"/>
    <col min="7" max="7" width="14.5" customWidth="1"/>
  </cols>
  <sheetData>
    <row r="1" spans="1:62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</row>
    <row r="2" spans="1:62" ht="24">
      <c r="A2" s="48"/>
      <c r="B2" s="117" t="s">
        <v>138</v>
      </c>
      <c r="C2" s="11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</row>
    <row r="3" spans="1:62">
      <c r="A3" s="48"/>
      <c r="B3" s="32"/>
      <c r="C3" s="34" t="s">
        <v>95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</row>
    <row r="4" spans="1:62">
      <c r="A4" s="48"/>
      <c r="B4" s="33" t="s">
        <v>139</v>
      </c>
      <c r="C4" s="86">
        <f>IF(BACKUPS_ENABLED,(NIQ_DB_DISK * COMPRESSION_RATIO * BACKUPS_TO_PRESERVE) + (NIQ_DB_DISK * DAILY_WAL_RATIO * COMPRESSION_RATIO * IF(BACKUP_PERIOD="daily",1,IF(BACKUP_PERIOD="weekly",7))),0)</f>
        <v>0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</row>
    <row r="5" spans="1:62">
      <c r="A5" s="48"/>
      <c r="B5" s="48"/>
      <c r="C5" s="87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</row>
    <row r="6" spans="1:62">
      <c r="A6" s="24"/>
      <c r="B6" s="24"/>
      <c r="C6" s="21"/>
      <c r="D6" s="21"/>
      <c r="E6" s="21"/>
      <c r="F6" s="21"/>
      <c r="G6" s="21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</row>
    <row r="7" spans="1:62">
      <c r="A7" s="21"/>
      <c r="B7" s="21"/>
      <c r="C7" s="21"/>
      <c r="D7" s="21"/>
      <c r="E7" s="21"/>
      <c r="F7" s="21"/>
      <c r="G7" s="21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</row>
    <row r="8" spans="1:62">
      <c r="A8" s="21"/>
      <c r="B8" s="21"/>
      <c r="C8" s="21"/>
      <c r="D8" s="21"/>
      <c r="E8" s="21"/>
      <c r="F8" s="21"/>
      <c r="G8" s="21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</row>
    <row r="9" spans="1:62">
      <c r="A9" s="21"/>
      <c r="B9" s="21"/>
      <c r="C9" s="21"/>
      <c r="D9" s="21"/>
      <c r="E9" s="21"/>
      <c r="F9" s="21"/>
      <c r="G9" s="21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</row>
    <row r="10" spans="1:62">
      <c r="A10" s="21"/>
      <c r="B10" s="21"/>
      <c r="C10" s="21"/>
      <c r="D10" s="21"/>
      <c r="E10" s="21"/>
      <c r="F10" s="21"/>
      <c r="G10" s="21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</row>
    <row r="11" spans="1:62">
      <c r="A11" s="21"/>
      <c r="B11" s="21"/>
      <c r="C11" s="21"/>
      <c r="D11" s="21"/>
      <c r="E11" s="21"/>
      <c r="F11" s="21"/>
      <c r="G11" s="21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</row>
    <row r="12" spans="1:6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</row>
    <row r="13" spans="1:6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</row>
    <row r="14" spans="1:6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</row>
    <row r="15" spans="1:6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</row>
    <row r="16" spans="1:6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</row>
    <row r="17" spans="1:6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</row>
    <row r="18" spans="1:6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</row>
    <row r="19" spans="1:6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</row>
    <row r="20" spans="1:6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</row>
    <row r="21" spans="1:6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</row>
    <row r="22" spans="1:6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</row>
    <row r="23" spans="1:6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</row>
    <row r="24" spans="1:6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</row>
    <row r="25" spans="1:6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</row>
    <row r="26" spans="1:6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</row>
    <row r="27" spans="1:6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</row>
    <row r="28" spans="1:6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</row>
    <row r="29" spans="1:6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</row>
    <row r="30" spans="1:6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</row>
    <row r="31" spans="1:6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</row>
    <row r="32" spans="1:6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</row>
    <row r="33" spans="1:6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</row>
    <row r="34" spans="1:6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</row>
    <row r="35" spans="1:6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</row>
    <row r="36" spans="1:62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</row>
    <row r="37" spans="1:6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</row>
    <row r="38" spans="1:62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</row>
    <row r="39" spans="1:6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</row>
    <row r="40" spans="1:6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</row>
    <row r="41" spans="1:6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</row>
    <row r="42" spans="1:62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</row>
    <row r="43" spans="1:6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</row>
    <row r="44" spans="1:6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</row>
    <row r="45" spans="1:62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</row>
    <row r="46" spans="1:62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</row>
    <row r="47" spans="1:6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</row>
    <row r="48" spans="1:62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</row>
    <row r="49" spans="1:62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</row>
    <row r="50" spans="1:6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</row>
    <row r="51" spans="1:62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</row>
    <row r="52" spans="1:6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</row>
    <row r="53" spans="1:6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</row>
    <row r="54" spans="1:6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</row>
    <row r="55" spans="1:6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</row>
    <row r="56" spans="1:62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</row>
    <row r="57" spans="1:62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</row>
    <row r="58" spans="1:62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</row>
    <row r="59" spans="1:62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</row>
    <row r="60" spans="1:6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</row>
    <row r="61" spans="1:6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</row>
    <row r="62" spans="1:6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</row>
    <row r="63" spans="1:6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</row>
    <row r="64" spans="1:6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</row>
    <row r="65" spans="1:6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</row>
    <row r="66" spans="1:6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</row>
    <row r="67" spans="1:62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</row>
    <row r="68" spans="1:6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</row>
    <row r="69" spans="1:62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</row>
    <row r="70" spans="1:6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</row>
    <row r="71" spans="1:62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</row>
    <row r="72" spans="1:6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</row>
    <row r="73" spans="1:62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</row>
    <row r="74" spans="1:6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</row>
    <row r="75" spans="1:62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</row>
    <row r="76" spans="1:62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</row>
    <row r="77" spans="1:62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</row>
    <row r="78" spans="1:62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</row>
    <row r="79" spans="1:62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</row>
    <row r="80" spans="1:6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</row>
    <row r="81" spans="1:62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</row>
    <row r="82" spans="1:6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</row>
    <row r="83" spans="1:62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</row>
    <row r="84" spans="1:62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</row>
    <row r="85" spans="1:62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</row>
    <row r="86" spans="1:6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</row>
    <row r="87" spans="1:6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</row>
    <row r="88" spans="1:6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</row>
    <row r="89" spans="1:6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</row>
    <row r="90" spans="1:62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</row>
    <row r="91" spans="1:6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</row>
    <row r="92" spans="1:6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</row>
    <row r="93" spans="1:6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</row>
    <row r="94" spans="1:62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</row>
    <row r="95" spans="1:6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</row>
    <row r="96" spans="1:62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</row>
    <row r="97" spans="1:62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</row>
    <row r="98" spans="1:62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</row>
    <row r="99" spans="1:62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</row>
    <row r="100" spans="1:62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</row>
    <row r="101" spans="1:62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</row>
    <row r="102" spans="1:6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</row>
    <row r="103" spans="1:62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</row>
    <row r="104" spans="1:62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</row>
    <row r="105" spans="1:62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</row>
    <row r="106" spans="1:62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</row>
    <row r="107" spans="1:62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</row>
    <row r="108" spans="1:62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</row>
    <row r="109" spans="1:62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</row>
    <row r="110" spans="1:62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</row>
    <row r="111" spans="1:62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</row>
    <row r="112" spans="1:6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</row>
    <row r="113" spans="1:62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</row>
    <row r="114" spans="1:62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</row>
    <row r="115" spans="1:62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</row>
    <row r="116" spans="1:62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</row>
    <row r="117" spans="1:62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</row>
    <row r="118" spans="1:62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</row>
    <row r="119" spans="1:62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</row>
    <row r="120" spans="1:62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</row>
    <row r="121" spans="1:62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</row>
    <row r="122" spans="1:6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</row>
    <row r="123" spans="1:62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</row>
    <row r="124" spans="1:62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</row>
    <row r="125" spans="1:62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</row>
    <row r="126" spans="1:6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</row>
    <row r="127" spans="1:62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</row>
    <row r="128" spans="1:62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</row>
    <row r="129" spans="1:62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</row>
    <row r="130" spans="1:62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</row>
    <row r="131" spans="1:62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</row>
    <row r="132" spans="1:62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</row>
    <row r="133" spans="1:62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</row>
    <row r="134" spans="1:62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</row>
    <row r="135" spans="1:62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</row>
    <row r="136" spans="1:62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</row>
    <row r="137" spans="1:62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</row>
    <row r="138" spans="1:62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</row>
    <row r="139" spans="1:62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</row>
    <row r="140" spans="1:62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</row>
    <row r="141" spans="1:62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</row>
    <row r="142" spans="1:62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</row>
    <row r="143" spans="1:62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</row>
    <row r="144" spans="1:62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</row>
    <row r="145" spans="1:62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</row>
    <row r="146" spans="1:62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</row>
    <row r="147" spans="1:62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</row>
    <row r="148" spans="1:62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</row>
    <row r="149" spans="1:62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</row>
    <row r="150" spans="1:62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</row>
    <row r="151" spans="1:62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</row>
    <row r="152" spans="1:62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</row>
    <row r="153" spans="1:62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</row>
    <row r="154" spans="1:62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</row>
    <row r="155" spans="1:62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</row>
    <row r="156" spans="1:62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</row>
    <row r="157" spans="1:62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</row>
    <row r="158" spans="1:62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</row>
    <row r="159" spans="1:62"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</row>
    <row r="160" spans="1:62"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</row>
  </sheetData>
  <sheetProtection algorithmName="SHA-512" hashValue="wzuM3vhZTVJIuQW89YHQlYUoEsVHO+98hyYf97CiY2jxT/6al0SZlIF/hif5jjjABZGYiTFRw/G2mUnDMkeexw==" saltValue="hdQomh8F6cHLXqelPpq1Ig==" spinCount="100000" sheet="1" objects="1" scenarios="1"/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FDECC58A25AE42A9198A8CE4C6DD59" ma:contentTypeVersion="14" ma:contentTypeDescription="Create a new document." ma:contentTypeScope="" ma:versionID="afdd3df9b5ef52a29170ed6c2cf6af5f">
  <xsd:schema xmlns:xsd="http://www.w3.org/2001/XMLSchema" xmlns:xs="http://www.w3.org/2001/XMLSchema" xmlns:p="http://schemas.microsoft.com/office/2006/metadata/properties" xmlns:ns2="896f5a4c-d49f-4cf8-b895-18c91e2618a1" xmlns:ns3="fd6e5f3e-f129-44af-99a3-7824bf2fb428" targetNamespace="http://schemas.microsoft.com/office/2006/metadata/properties" ma:root="true" ma:fieldsID="7ab2f8c5b16d5f8415d2795a357d7d1f" ns2:_="" ns3:_="">
    <xsd:import namespace="896f5a4c-d49f-4cf8-b895-18c91e2618a1"/>
    <xsd:import namespace="fd6e5f3e-f129-44af-99a3-7824bf2fb4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f5a4c-d49f-4cf8-b895-18c91e2618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9519eb8-001b-4dd9-8191-a5d956a192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e5f3e-f129-44af-99a3-7824bf2fb42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5823202-fb82-4438-8f51-61c5886b0e7d}" ma:internalName="TaxCatchAll" ma:showField="CatchAllData" ma:web="fd6e5f3e-f129-44af-99a3-7824bf2fb4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6e5f3e-f129-44af-99a3-7824bf2fb428" xsi:nil="true"/>
    <lcf76f155ced4ddcb4097134ff3c332f xmlns="896f5a4c-d49f-4cf8-b895-18c91e2618a1">
      <Terms xmlns="http://schemas.microsoft.com/office/infopath/2007/PartnerControls"/>
    </lcf76f155ced4ddcb4097134ff3c332f>
    <SharedWithUsers xmlns="fd6e5f3e-f129-44af-99a3-7824bf2fb428">
      <UserInfo>
        <DisplayName>Yohann Duchenay</DisplayName>
        <AccountId>130</AccountId>
        <AccountType/>
      </UserInfo>
      <UserInfo>
        <DisplayName>Derek Murphy</DisplayName>
        <AccountId>17</AccountId>
        <AccountType/>
      </UserInfo>
      <UserInfo>
        <DisplayName>Jonathan Chinitz</DisplayName>
        <AccountId>38</AccountId>
        <AccountType/>
      </UserInfo>
      <UserInfo>
        <DisplayName>Carl Dahl</DisplayName>
        <AccountId>42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1A738E4-9C20-49D5-B0F9-A5CB89ABA923}"/>
</file>

<file path=customXml/itemProps2.xml><?xml version="1.0" encoding="utf-8"?>
<ds:datastoreItem xmlns:ds="http://schemas.openxmlformats.org/officeDocument/2006/customXml" ds:itemID="{81B01F66-3EF0-4DFB-9C20-23974FF1403F}"/>
</file>

<file path=customXml/itemProps3.xml><?xml version="1.0" encoding="utf-8"?>
<ds:datastoreItem xmlns:ds="http://schemas.openxmlformats.org/officeDocument/2006/customXml" ds:itemID="{51D90276-34E7-4581-A877-8DEA62A9B1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Thiebaut-George</dc:creator>
  <cp:keywords/>
  <dc:description/>
  <cp:lastModifiedBy/>
  <cp:revision/>
  <dcterms:created xsi:type="dcterms:W3CDTF">2024-01-12T09:19:38Z</dcterms:created>
  <dcterms:modified xsi:type="dcterms:W3CDTF">2025-07-14T14:54:18Z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0x0101004EFDECC58A25AE42A9198A8CE4C6DD59</vt:lpwstr>
  </property>
  <property fmtid="{D5CDD505-2E9C-101B-9397-08002B2CF9AE}" pid="3" name="MediaServiceImageTags">
    <vt:lpwstr/>
  </property>
</Properties>
</file>